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https://developco-my.sharepoint.com/personal/scott_developco_com/Documents/Development Advisors/Church/Resources/"/>
    </mc:Choice>
  </mc:AlternateContent>
  <xr:revisionPtr revIDLastSave="19" documentId="8_{4891A6EE-4D09-4569-AD6A-9072C837746E}" xr6:coauthVersionLast="47" xr6:coauthVersionMax="47" xr10:uidLastSave="{28853A46-6142-4D0D-A1E7-F0D059397686}"/>
  <bookViews>
    <workbookView xWindow="-110" yWindow="-110" windowWidth="19420" windowHeight="11500" activeTab="1" xr2:uid="{00000000-000D-0000-FFFF-FFFF00000000}"/>
  </bookViews>
  <sheets>
    <sheet name="Attendance" sheetId="4" r:id="rId1"/>
    <sheet name="Projections" sheetId="1" r:id="rId2"/>
    <sheet name="Observations" sheetId="3" r:id="rId3"/>
  </sheets>
  <definedNames>
    <definedName name="_xlnm.Print_Area" localSheetId="2">Observations!$A$1:$B$11</definedName>
    <definedName name="_xlnm.Print_Area" localSheetId="1">Projections!$A$1:$Y$48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4" i="1" l="1"/>
  <c r="L45" i="1"/>
  <c r="L44" i="1"/>
  <c r="E47" i="1"/>
  <c r="U22" i="1"/>
  <c r="Q22" i="1"/>
  <c r="S22" i="1"/>
  <c r="W5" i="1"/>
  <c r="Y5" i="1"/>
  <c r="K30" i="1"/>
  <c r="O9" i="1"/>
  <c r="O8" i="1"/>
  <c r="O7" i="1"/>
  <c r="A6" i="3" l="1"/>
  <c r="A7" i="3"/>
  <c r="A8" i="3"/>
  <c r="A9" i="3"/>
  <c r="A10" i="3"/>
  <c r="A11" i="3"/>
  <c r="E12" i="1" l="1"/>
  <c r="F12" i="1" s="1"/>
  <c r="F14" i="1"/>
  <c r="J14" i="1" s="1"/>
  <c r="L14" i="1" s="1"/>
  <c r="M14" i="1" s="1"/>
  <c r="D15" i="1"/>
  <c r="J12" i="1" l="1"/>
  <c r="U14" i="1"/>
  <c r="H15" i="1"/>
  <c r="H13" i="1"/>
  <c r="Q30" i="1"/>
  <c r="S30" i="1" s="1"/>
  <c r="Q29" i="1"/>
  <c r="S13" i="1"/>
  <c r="R8" i="1"/>
  <c r="T8" i="1"/>
  <c r="Q31" i="1" s="1"/>
  <c r="S7" i="1"/>
  <c r="S6" i="1"/>
  <c r="S5" i="1"/>
  <c r="L12" i="1" l="1"/>
  <c r="M12" i="1" s="1"/>
  <c r="R14" i="1"/>
  <c r="R15" i="1" s="1"/>
  <c r="S31" i="1"/>
  <c r="S29" i="1"/>
  <c r="U29" i="1" s="1"/>
  <c r="W29" i="1" s="1"/>
  <c r="E44" i="1"/>
  <c r="S8" i="1"/>
  <c r="X7" i="1" l="1"/>
  <c r="Y7" i="1" s="1"/>
  <c r="R40" i="1" l="1"/>
  <c r="T13" i="1"/>
  <c r="R20" i="1"/>
  <c r="D14" i="1"/>
  <c r="H14" i="1"/>
  <c r="I33" i="1"/>
  <c r="T36" i="1" l="1"/>
  <c r="U36" i="1" s="1"/>
  <c r="V36" i="1" s="1"/>
  <c r="W36" i="1" s="1"/>
  <c r="X36" i="1" s="1"/>
  <c r="Y36" i="1" s="1"/>
  <c r="I14" i="1"/>
  <c r="I15" i="1"/>
  <c r="I13" i="1"/>
  <c r="N8" i="4"/>
  <c r="N7" i="4"/>
  <c r="L9" i="4"/>
  <c r="N9" i="4" s="1"/>
  <c r="L8" i="4"/>
  <c r="L7" i="4"/>
  <c r="H9" i="4"/>
  <c r="H8" i="4"/>
  <c r="D9" i="4"/>
  <c r="E9" i="4" s="1"/>
  <c r="G9" i="4" s="1"/>
  <c r="D8" i="4"/>
  <c r="E8" i="4"/>
  <c r="G8" i="4" s="1"/>
  <c r="E7" i="4"/>
  <c r="G7" i="4" s="1"/>
  <c r="E10" i="1"/>
  <c r="F10" i="1" s="1"/>
  <c r="J10" i="1" s="1"/>
  <c r="A5" i="3"/>
  <c r="I9" i="4"/>
  <c r="K9" i="4" s="1"/>
  <c r="I8" i="4"/>
  <c r="K8" i="4" s="1"/>
  <c r="I7" i="4"/>
  <c r="K7" i="4" s="1"/>
  <c r="H7" i="1"/>
  <c r="H8" i="1"/>
  <c r="H9" i="1"/>
  <c r="W13" i="1" l="1"/>
  <c r="H11" i="1"/>
  <c r="I11" i="1" s="1"/>
  <c r="H10" i="1"/>
  <c r="L10" i="1"/>
  <c r="I10" i="1" l="1"/>
  <c r="K10" i="1" s="1"/>
  <c r="H12" i="1"/>
  <c r="I12" i="1" s="1"/>
  <c r="K12" i="1" s="1"/>
  <c r="V13" i="1"/>
  <c r="U13" i="1"/>
  <c r="D8" i="1"/>
  <c r="E8" i="1"/>
  <c r="F8" i="1"/>
  <c r="G8" i="1"/>
  <c r="I8" i="1"/>
  <c r="J8" i="1"/>
  <c r="K8" i="1"/>
  <c r="L8" i="1"/>
  <c r="M8" i="1"/>
  <c r="N8" i="1"/>
  <c r="D9" i="1"/>
  <c r="E9" i="1"/>
  <c r="F9" i="1"/>
  <c r="G9" i="1"/>
  <c r="I9" i="1"/>
  <c r="J9" i="1"/>
  <c r="K9" i="1"/>
  <c r="L9" i="1"/>
  <c r="M9" i="1"/>
  <c r="N9" i="1"/>
  <c r="M10" i="1"/>
  <c r="D7" i="1"/>
  <c r="E7" i="1"/>
  <c r="F7" i="1"/>
  <c r="G7" i="1"/>
  <c r="I7" i="1"/>
  <c r="J7" i="1"/>
  <c r="K7" i="1"/>
  <c r="L7" i="1"/>
  <c r="M7" i="1"/>
  <c r="N7" i="1"/>
  <c r="B8" i="1" l="1"/>
  <c r="B9" i="1" s="1"/>
  <c r="B10" i="1" s="1"/>
  <c r="B11" i="1" s="1"/>
  <c r="B13" i="1" l="1"/>
  <c r="B14" i="1" l="1"/>
  <c r="B15" i="1" l="1"/>
  <c r="S12" i="1"/>
  <c r="T12" i="1" s="1"/>
  <c r="U12" i="1" s="1"/>
  <c r="V12" i="1" s="1"/>
  <c r="W12" i="1" s="1"/>
  <c r="R12" i="1"/>
  <c r="K33" i="1"/>
  <c r="G33" i="1"/>
  <c r="G21" i="1" l="1"/>
  <c r="G23" i="1" s="1"/>
  <c r="K21" i="1"/>
  <c r="K23" i="1" s="1"/>
  <c r="I21" i="1"/>
  <c r="I23" i="1" s="1"/>
  <c r="K36" i="1"/>
  <c r="I20" i="1"/>
  <c r="I36" i="1" s="1"/>
  <c r="G20" i="1"/>
  <c r="Q21" i="1" l="1"/>
  <c r="Q23" i="1" s="1"/>
  <c r="E11" i="1"/>
  <c r="F11" i="1" s="1"/>
  <c r="J11" i="1" s="1"/>
  <c r="K11" i="1" s="1"/>
  <c r="E15" i="1" l="1"/>
  <c r="F15" i="1" s="1"/>
  <c r="J15" i="1" s="1"/>
  <c r="E14" i="1"/>
  <c r="E13" i="1"/>
  <c r="S14" i="1"/>
  <c r="K14" i="1" l="1"/>
  <c r="G14" i="1"/>
  <c r="V14" i="1"/>
  <c r="W14" i="1" s="1"/>
  <c r="F13" i="1"/>
  <c r="G36" i="1"/>
  <c r="J13" i="1" l="1"/>
  <c r="L13" i="1" s="1"/>
  <c r="G24" i="1"/>
  <c r="I24" i="1"/>
  <c r="K24" i="1"/>
  <c r="B37" i="1"/>
  <c r="T15" i="1"/>
  <c r="U31" i="1" s="1"/>
  <c r="S15" i="1"/>
  <c r="M13" i="1" l="1"/>
  <c r="U21" i="1" s="1"/>
  <c r="K13" i="1"/>
  <c r="K39" i="1"/>
  <c r="K38" i="1"/>
  <c r="I25" i="1"/>
  <c r="I26" i="1" s="1"/>
  <c r="I39" i="1"/>
  <c r="I38" i="1"/>
  <c r="G37" i="1"/>
  <c r="G39" i="1"/>
  <c r="G38" i="1"/>
  <c r="I37" i="1"/>
  <c r="I40" i="1"/>
  <c r="G25" i="1"/>
  <c r="G26" i="1" s="1"/>
  <c r="K40" i="1"/>
  <c r="K37" i="1"/>
  <c r="K25" i="1"/>
  <c r="K26" i="1" s="1"/>
  <c r="G40" i="1"/>
  <c r="U15" i="1"/>
  <c r="W31" i="1" s="1"/>
  <c r="W15" i="1"/>
  <c r="V15" i="1"/>
  <c r="Y31" i="1" s="1"/>
  <c r="G41" i="1" l="1"/>
  <c r="K41" i="1"/>
  <c r="I41" i="1"/>
  <c r="Q24" i="1" l="1"/>
  <c r="Q25" i="1" s="1"/>
  <c r="P31" i="1" l="1"/>
  <c r="P29" i="1"/>
  <c r="P30" i="1"/>
  <c r="Q26" i="1" l="1"/>
  <c r="L11" i="1"/>
  <c r="U30" i="1" s="1"/>
  <c r="W30" i="1" s="1"/>
  <c r="M11" i="1" l="1"/>
  <c r="S21" i="1" s="1"/>
  <c r="S24" i="1" l="1"/>
  <c r="R30" i="1" s="1"/>
  <c r="S23" i="1"/>
  <c r="S25" i="1" l="1"/>
  <c r="S33" i="1"/>
  <c r="S32" i="1" s="1"/>
  <c r="R32" i="1" s="1"/>
  <c r="R29" i="1"/>
  <c r="S26" i="1" l="1"/>
  <c r="E48" i="1"/>
  <c r="U23" i="1"/>
  <c r="U24" i="1" l="1"/>
  <c r="U25" i="1" s="1"/>
  <c r="L47" i="1"/>
  <c r="T30" i="1" l="1"/>
  <c r="T31" i="1"/>
  <c r="U26" i="1"/>
  <c r="U33" i="1"/>
  <c r="T29" i="1"/>
  <c r="W21" i="1"/>
  <c r="W23" i="1" s="1"/>
  <c r="T32" i="1" l="1"/>
  <c r="U32" i="1" s="1"/>
  <c r="W24" i="1"/>
  <c r="V29" i="1" s="1"/>
  <c r="V31" i="1" l="1"/>
  <c r="V30" i="1"/>
  <c r="W25" i="1"/>
  <c r="S37" i="1" s="1"/>
  <c r="S39" i="1" s="1"/>
  <c r="S40" i="1" s="1"/>
  <c r="S41" i="1" s="1"/>
  <c r="W33" i="1"/>
  <c r="W26" i="1" l="1"/>
  <c r="V32" i="1"/>
  <c r="W32" i="1" s="1"/>
  <c r="K15" i="1"/>
  <c r="L15" i="1"/>
  <c r="M15" i="1" l="1"/>
  <c r="Y21" i="1" s="1"/>
  <c r="Y30" i="1"/>
  <c r="Y24" i="1" l="1"/>
  <c r="X31" i="1" s="1"/>
  <c r="Y23" i="1"/>
  <c r="Y29" i="1" l="1"/>
  <c r="Y25" i="1"/>
  <c r="Y26" i="1" s="1"/>
  <c r="Y33" i="1"/>
  <c r="X30" i="1"/>
  <c r="X32" i="1"/>
  <c r="Y32" i="1" s="1"/>
  <c r="T37" i="1" l="1"/>
  <c r="T39" i="1" s="1"/>
  <c r="T40" i="1" s="1"/>
  <c r="T41" i="1" s="1"/>
  <c r="Y37" i="1"/>
  <c r="X37" i="1"/>
  <c r="W37" i="1"/>
  <c r="V37" i="1"/>
  <c r="U37" i="1"/>
  <c r="U39" i="1" s="1"/>
  <c r="V39" i="1"/>
  <c r="U40" i="1" l="1"/>
  <c r="U41" i="1" s="1"/>
  <c r="W39" i="1"/>
  <c r="V40" i="1" l="1"/>
  <c r="V41" i="1" s="1"/>
  <c r="Y39" i="1"/>
  <c r="X39" i="1"/>
  <c r="W40" i="1" l="1"/>
  <c r="W41" i="1" s="1"/>
  <c r="X40" i="1" l="1"/>
  <c r="X41" i="1" s="1"/>
  <c r="Y40" i="1"/>
  <c r="Y41" i="1" s="1"/>
  <c r="Q32" i="1"/>
  <c r="Q33" i="1" l="1"/>
  <c r="P32" i="1"/>
  <c r="P3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Scott McLean</author>
  </authors>
  <commentList>
    <comment ref="V5" authorId="0" shapeId="0" xr:uid="{A16DA879-39D8-4064-A714-F58F45DF732E}">
      <text>
        <r>
          <rPr>
            <b/>
            <sz val="9"/>
            <color indexed="81"/>
            <rFont val="Tahoma"/>
            <charset val="1"/>
          </rPr>
          <t>Scott McLean:</t>
        </r>
        <r>
          <rPr>
            <sz val="9"/>
            <color indexed="81"/>
            <rFont val="Tahoma"/>
            <charset val="1"/>
          </rPr>
          <t xml:space="preserve">
It's possible to create up to 500 seats by forgoing space in certain areas. See Discovery doc.</t>
        </r>
      </text>
    </comment>
    <comment ref="V7" authorId="0" shapeId="0" xr:uid="{FF85E37E-121D-431C-8594-6302F2EB5817}">
      <text>
        <r>
          <rPr>
            <b/>
            <sz val="9"/>
            <color indexed="81"/>
            <rFont val="Tahoma"/>
            <family val="2"/>
          </rPr>
          <t>Scott McLean:</t>
        </r>
        <r>
          <rPr>
            <sz val="9"/>
            <color indexed="81"/>
            <rFont val="Tahoma"/>
            <family val="2"/>
          </rPr>
          <t xml:space="preserve">
Predicted Loan Rate when loan originates about June, 2026.</t>
        </r>
      </text>
    </comment>
    <comment ref="W7" authorId="0" shapeId="0" xr:uid="{E820792F-3DF5-4B89-BC2B-B652BD4BDC9D}">
      <text>
        <r>
          <rPr>
            <b/>
            <sz val="9"/>
            <color indexed="81"/>
            <rFont val="Tahoma"/>
            <family val="2"/>
          </rPr>
          <t>Scott McLean:</t>
        </r>
        <r>
          <rPr>
            <sz val="9"/>
            <color indexed="81"/>
            <rFont val="Tahoma"/>
            <family val="2"/>
          </rPr>
          <t xml:space="preserve">
Adjust this LTV based on 2027 Expenses and particularly keeping cell U32 around zero.</t>
        </r>
      </text>
    </comment>
    <comment ref="N10" authorId="0" shapeId="0" xr:uid="{6985C0A5-3063-455F-9E1C-2430B57D8972}">
      <text>
        <r>
          <rPr>
            <b/>
            <sz val="9"/>
            <color indexed="81"/>
            <rFont val="Tahoma"/>
            <family val="2"/>
          </rPr>
          <t>Scott McLean:</t>
        </r>
        <r>
          <rPr>
            <sz val="9"/>
            <color indexed="81"/>
            <rFont val="Tahoma"/>
            <family val="2"/>
          </rPr>
          <t xml:space="preserve">
With Capital Campaign starting, giving will slightly decrease.</t>
        </r>
      </text>
    </comment>
    <comment ref="M12" authorId="0" shapeId="0" xr:uid="{27FAD74C-139F-4ABB-9088-0B12A4B2BE4F}">
      <text>
        <r>
          <rPr>
            <b/>
            <sz val="9"/>
            <color indexed="81"/>
            <rFont val="Tahoma"/>
            <family val="2"/>
          </rPr>
          <t>Scott McLean:</t>
        </r>
        <r>
          <rPr>
            <sz val="9"/>
            <color indexed="81"/>
            <rFont val="Tahoma"/>
            <family val="2"/>
          </rPr>
          <t xml:space="preserve">
Assumes 3 mos at old facility and 9 mos at new facility (cell below)</t>
        </r>
      </text>
    </comment>
    <comment ref="H13" authorId="0" shapeId="0" xr:uid="{2DC96C6E-8505-47A0-990B-5A6269C720C8}">
      <text>
        <r>
          <rPr>
            <b/>
            <sz val="9"/>
            <color indexed="81"/>
            <rFont val="Tahoma"/>
            <family val="2"/>
          </rPr>
          <t>Scott McLean:</t>
        </r>
        <r>
          <rPr>
            <sz val="9"/>
            <color indexed="81"/>
            <rFont val="Tahoma"/>
            <family val="2"/>
          </rPr>
          <t xml:space="preserve">
Based on 25% Adult seats which is above the projected amount.</t>
        </r>
      </text>
    </comment>
    <comment ref="M13" authorId="0" shapeId="0" xr:uid="{7239CDDB-8A0C-4F18-88B9-A8B27CEDBD0A}">
      <text>
        <r>
          <rPr>
            <b/>
            <sz val="9"/>
            <color indexed="81"/>
            <rFont val="Tahoma"/>
            <charset val="1"/>
          </rPr>
          <t>Scott McLean:</t>
        </r>
        <r>
          <rPr>
            <sz val="9"/>
            <color indexed="81"/>
            <rFont val="Tahoma"/>
            <charset val="1"/>
          </rPr>
          <t xml:space="preserve">
Assumes 9 mos in new facility.</t>
        </r>
      </text>
    </comment>
    <comment ref="C14" authorId="0" shapeId="0" xr:uid="{FF70A1D8-A1BA-4948-94E7-37AA5CD6F184}">
      <text>
        <r>
          <rPr>
            <b/>
            <sz val="9"/>
            <color indexed="81"/>
            <rFont val="Tahoma"/>
            <family val="2"/>
          </rPr>
          <t>Scott McLean:</t>
        </r>
        <r>
          <rPr>
            <sz val="9"/>
            <color indexed="81"/>
            <rFont val="Tahoma"/>
            <family val="2"/>
          </rPr>
          <t xml:space="preserve">
With growth add 3rd Service. Plan occupancy for each Service at 85%, 70%, 50% </t>
        </r>
      </text>
    </comment>
    <comment ref="K21" authorId="0" shapeId="0" xr:uid="{7DFABFEA-18CD-4A42-9A2E-519C15478A60}">
      <text>
        <r>
          <rPr>
            <b/>
            <sz val="9"/>
            <color indexed="81"/>
            <rFont val="Tahoma"/>
            <family val="2"/>
          </rPr>
          <t>Scott McLean:</t>
        </r>
        <r>
          <rPr>
            <sz val="9"/>
            <color indexed="81"/>
            <rFont val="Tahoma"/>
            <family val="2"/>
          </rPr>
          <t xml:space="preserve">
Extrapolated 5 mos YTD data</t>
        </r>
      </text>
    </comment>
    <comment ref="Q22" authorId="0" shapeId="0" xr:uid="{19B5EEDF-5192-4A84-8BCA-DEA74BDAA57F}">
      <text>
        <r>
          <rPr>
            <b/>
            <sz val="9"/>
            <color indexed="81"/>
            <rFont val="Tahoma"/>
            <charset val="1"/>
          </rPr>
          <t>Scott McLean:</t>
        </r>
        <r>
          <rPr>
            <sz val="9"/>
            <color indexed="81"/>
            <rFont val="Tahoma"/>
            <charset val="1"/>
          </rPr>
          <t xml:space="preserve">
$725K which is 25% "First Fruits" of $2.9M  plus 7 months of straightline receipts ($90,625/mo) or another $634,375.</t>
        </r>
      </text>
    </comment>
    <comment ref="S22" authorId="0" shapeId="0" xr:uid="{EBD9532B-612E-4FB4-90F1-6381EE084CB0}">
      <text>
        <r>
          <rPr>
            <b/>
            <sz val="9"/>
            <color indexed="81"/>
            <rFont val="Tahoma"/>
            <charset val="1"/>
          </rPr>
          <t>Scott McLean:</t>
        </r>
        <r>
          <rPr>
            <sz val="9"/>
            <color indexed="81"/>
            <rFont val="Tahoma"/>
            <charset val="1"/>
          </rPr>
          <t xml:space="preserve">
12 months @ $75K/mo.</t>
        </r>
      </text>
    </comment>
    <comment ref="U22" authorId="0" shapeId="0" xr:uid="{D158DEB4-87FC-4243-A66E-6DF543330F66}">
      <text>
        <r>
          <rPr>
            <b/>
            <sz val="9"/>
            <color indexed="81"/>
            <rFont val="Tahoma"/>
            <charset val="1"/>
          </rPr>
          <t>Scott McLean:</t>
        </r>
        <r>
          <rPr>
            <sz val="9"/>
            <color indexed="81"/>
            <rFont val="Tahoma"/>
            <charset val="1"/>
          </rPr>
          <t xml:space="preserve">
5 mos Cap Cam plus additional amounts collected from recent new attenders.</t>
        </r>
      </text>
    </comment>
    <comment ref="P24" authorId="0" shapeId="0" xr:uid="{F30AE211-A2C6-4779-9EF3-181B6343B610}">
      <text>
        <r>
          <rPr>
            <b/>
            <sz val="9"/>
            <color indexed="81"/>
            <rFont val="Tahoma"/>
            <family val="2"/>
          </rPr>
          <t>Scott McLean:</t>
        </r>
        <r>
          <rPr>
            <sz val="9"/>
            <color indexed="81"/>
            <rFont val="Tahoma"/>
            <family val="2"/>
          </rPr>
          <t xml:space="preserve">
Based on GOI only. Adjust based on Expenses below - keeping cell Q32 above zero.</t>
        </r>
      </text>
    </comment>
    <comment ref="R24" authorId="0" shapeId="0" xr:uid="{4167A4F6-9B06-40A0-9840-211E08E04647}">
      <text>
        <r>
          <rPr>
            <b/>
            <sz val="9"/>
            <color indexed="81"/>
            <rFont val="Tahoma"/>
            <family val="2"/>
          </rPr>
          <t>Scott McLean:</t>
        </r>
        <r>
          <rPr>
            <sz val="9"/>
            <color indexed="81"/>
            <rFont val="Tahoma"/>
            <family val="2"/>
          </rPr>
          <t xml:space="preserve">
Adjust based on Expenses below - keeping cell S32 above zero.</t>
        </r>
      </text>
    </comment>
    <comment ref="V24" authorId="0" shapeId="0" xr:uid="{DD301BA6-E70D-4683-9C21-0DB1ADD07F72}">
      <text>
        <r>
          <rPr>
            <b/>
            <sz val="9"/>
            <color indexed="81"/>
            <rFont val="Tahoma"/>
            <family val="2"/>
          </rPr>
          <t>Scott McLean:</t>
        </r>
        <r>
          <rPr>
            <sz val="9"/>
            <color indexed="81"/>
            <rFont val="Tahoma"/>
            <family val="2"/>
          </rPr>
          <t xml:space="preserve">
</t>
        </r>
      </text>
    </comment>
    <comment ref="K29" authorId="0" shapeId="0" xr:uid="{9EBC11EF-F352-405D-8286-04923554D4D4}">
      <text>
        <r>
          <rPr>
            <b/>
            <sz val="9"/>
            <color indexed="81"/>
            <rFont val="Tahoma"/>
            <family val="2"/>
          </rPr>
          <t>Scott McLean:</t>
        </r>
        <r>
          <rPr>
            <sz val="9"/>
            <color indexed="81"/>
            <rFont val="Tahoma"/>
            <family val="2"/>
          </rPr>
          <t xml:space="preserve">
from 12-31-24 P&amp;L</t>
        </r>
      </text>
    </comment>
    <comment ref="Q29" authorId="0" shapeId="0" xr:uid="{58F8B20C-CF51-4207-853C-5E45D8AF331F}">
      <text>
        <r>
          <rPr>
            <b/>
            <sz val="9"/>
            <color indexed="81"/>
            <rFont val="Tahoma"/>
            <family val="2"/>
          </rPr>
          <t>Scott McLean:</t>
        </r>
        <r>
          <rPr>
            <sz val="9"/>
            <color indexed="81"/>
            <rFont val="Tahoma"/>
            <family val="2"/>
          </rPr>
          <t xml:space="preserve">
From estimated 2024
</t>
        </r>
      </text>
    </comment>
    <comment ref="R29" authorId="0" shapeId="0" xr:uid="{A4828861-CDFB-4660-931F-E6AF82DFE8B2}">
      <text>
        <r>
          <rPr>
            <b/>
            <sz val="9"/>
            <color indexed="81"/>
            <rFont val="Tahoma"/>
            <family val="2"/>
          </rPr>
          <t>Scott McLean:</t>
        </r>
        <r>
          <rPr>
            <sz val="9"/>
            <color indexed="81"/>
            <rFont val="Tahoma"/>
            <family val="2"/>
          </rPr>
          <t xml:space="preserve">
Keeping Personnel about the same except for 3% inflation.</t>
        </r>
      </text>
    </comment>
    <comment ref="U29" authorId="0" shapeId="0" xr:uid="{756A9475-E4D2-47FF-883B-FC482547303B}">
      <text>
        <r>
          <rPr>
            <b/>
            <sz val="9"/>
            <color indexed="81"/>
            <rFont val="Tahoma"/>
            <family val="2"/>
          </rPr>
          <t>Scott McLean:</t>
        </r>
        <r>
          <rPr>
            <sz val="9"/>
            <color indexed="81"/>
            <rFont val="Tahoma"/>
            <family val="2"/>
          </rPr>
          <t xml:space="preserve">
Increased for inflation only. Must use same Personnel for first 12 mos after expansion.</t>
        </r>
      </text>
    </comment>
    <comment ref="W29" authorId="0" shapeId="0" xr:uid="{593035D3-9F6D-4BCF-BAE1-57F2C8626817}">
      <text>
        <r>
          <rPr>
            <b/>
            <sz val="9"/>
            <color indexed="81"/>
            <rFont val="Tahoma"/>
            <family val="2"/>
          </rPr>
          <t>Scott McLean:</t>
        </r>
        <r>
          <rPr>
            <sz val="9"/>
            <color indexed="81"/>
            <rFont val="Tahoma"/>
            <family val="2"/>
          </rPr>
          <t xml:space="preserve">
Added 2 FTE's at $80K each because added addtl Service.</t>
        </r>
      </text>
    </comment>
    <comment ref="Q30" authorId="0" shapeId="0" xr:uid="{EAEBD716-AB28-4380-8096-6F236DC128AD}">
      <text>
        <r>
          <rPr>
            <b/>
            <sz val="9"/>
            <color indexed="81"/>
            <rFont val="Tahoma"/>
            <family val="2"/>
          </rPr>
          <t>Scott McLean:</t>
        </r>
        <r>
          <rPr>
            <sz val="9"/>
            <color indexed="81"/>
            <rFont val="Tahoma"/>
            <family val="2"/>
          </rPr>
          <t xml:space="preserve">
from 2023 amount (historical high)</t>
        </r>
      </text>
    </comment>
    <comment ref="S30" authorId="0" shapeId="0" xr:uid="{92967581-A1D3-4F7B-BEAA-82D495D7DB8B}">
      <text>
        <r>
          <rPr>
            <b/>
            <sz val="9"/>
            <color indexed="81"/>
            <rFont val="Tahoma"/>
            <family val="2"/>
          </rPr>
          <t>Scott McLean:</t>
        </r>
        <r>
          <rPr>
            <sz val="9"/>
            <color indexed="81"/>
            <rFont val="Tahoma"/>
            <family val="2"/>
          </rPr>
          <t xml:space="preserve">
Increased for Inflation estimated 3%</t>
        </r>
      </text>
    </comment>
    <comment ref="U30" authorId="0" shapeId="0" xr:uid="{61724FB6-E972-4F8C-88F9-331F992E3424}">
      <text>
        <r>
          <rPr>
            <b/>
            <sz val="9"/>
            <color indexed="81"/>
            <rFont val="Tahoma"/>
            <family val="2"/>
          </rPr>
          <t>Scott McLean:</t>
        </r>
        <r>
          <rPr>
            <sz val="9"/>
            <color indexed="81"/>
            <rFont val="Tahoma"/>
            <family val="2"/>
          </rPr>
          <t xml:space="preserve">
Based upon 2026 Operations Cost divided by # Attenders; then multiplied by 2027 Attendance.</t>
        </r>
      </text>
    </comment>
    <comment ref="W30" authorId="0" shapeId="0" xr:uid="{380CE9C9-78A4-46CD-ADD2-7BE9E35F88D9}">
      <text>
        <r>
          <rPr>
            <b/>
            <sz val="9"/>
            <color indexed="81"/>
            <rFont val="Tahoma"/>
            <family val="2"/>
          </rPr>
          <t>Scott McLean:</t>
        </r>
        <r>
          <rPr>
            <sz val="9"/>
            <color indexed="81"/>
            <rFont val="Tahoma"/>
            <family val="2"/>
          </rPr>
          <t xml:space="preserve">
Based upon 2027 Operations Cost divided by # Attenders; then multiplied by 2028 Attendance which equates to $</t>
        </r>
      </text>
    </comment>
    <comment ref="Y30" authorId="0" shapeId="0" xr:uid="{4A774C89-A478-436B-A3BD-32BDAE980773}">
      <text>
        <r>
          <rPr>
            <b/>
            <sz val="9"/>
            <color indexed="81"/>
            <rFont val="Tahoma"/>
            <family val="2"/>
          </rPr>
          <t>Scott McLean:</t>
        </r>
        <r>
          <rPr>
            <sz val="9"/>
            <color indexed="81"/>
            <rFont val="Tahoma"/>
            <family val="2"/>
          </rPr>
          <t xml:space="preserve">
Based upon 2028 Operations Cost divided by # Attenders; then multiplied by 2029 Attendance.</t>
        </r>
      </text>
    </comment>
    <comment ref="Q31" authorId="0" shapeId="0" xr:uid="{444A09FD-7FC0-4337-B923-D2D13A810A66}">
      <text>
        <r>
          <rPr>
            <b/>
            <sz val="9"/>
            <color indexed="81"/>
            <rFont val="Tahoma"/>
            <family val="2"/>
          </rPr>
          <t>Scott McLean:</t>
        </r>
        <r>
          <rPr>
            <sz val="9"/>
            <color indexed="81"/>
            <rFont val="Tahoma"/>
            <family val="2"/>
          </rPr>
          <t xml:space="preserve">
from Facility Costs above</t>
        </r>
      </text>
    </comment>
    <comment ref="S31" authorId="0" shapeId="0" xr:uid="{C7609A49-FDBE-4B77-80C9-9AADC2F9D82D}">
      <text>
        <r>
          <rPr>
            <b/>
            <sz val="9"/>
            <color indexed="81"/>
            <rFont val="Tahoma"/>
            <family val="2"/>
          </rPr>
          <t>Scott McLean:</t>
        </r>
        <r>
          <rPr>
            <sz val="9"/>
            <color indexed="81"/>
            <rFont val="Tahoma"/>
            <family val="2"/>
          </rPr>
          <t xml:space="preserve">
Increased by Inflation estimated 3%
</t>
        </r>
      </text>
    </comment>
    <comment ref="U31" authorId="0" shapeId="0" xr:uid="{01AB9604-B84B-466E-80CA-EFCB6D1C2431}">
      <text>
        <r>
          <rPr>
            <b/>
            <sz val="9"/>
            <color indexed="81"/>
            <rFont val="Tahoma"/>
            <family val="2"/>
          </rPr>
          <t>Scott McLean:</t>
        </r>
        <r>
          <rPr>
            <sz val="9"/>
            <color indexed="81"/>
            <rFont val="Tahoma"/>
            <family val="2"/>
          </rPr>
          <t xml:space="preserve">
Based on Facility Operating Costs above.</t>
        </r>
      </text>
    </comment>
    <comment ref="T32" authorId="0" shapeId="0" xr:uid="{B5C34406-3963-4610-9C66-7860D9E3BD51}">
      <text>
        <r>
          <rPr>
            <b/>
            <sz val="9"/>
            <color indexed="81"/>
            <rFont val="Tahoma"/>
            <family val="2"/>
          </rPr>
          <t>Scott McLean:</t>
        </r>
        <r>
          <rPr>
            <sz val="9"/>
            <color indexed="81"/>
            <rFont val="Tahoma"/>
            <family val="2"/>
          </rPr>
          <t xml:space="preserve">
This Delta Row is used in conjunction w/ Project Costs above. Goal is to be close to zero.</t>
        </r>
      </text>
    </comment>
    <comment ref="I43" authorId="0" shapeId="0" xr:uid="{EEAB0504-6790-4B2C-89C0-69654D4671EF}">
      <text>
        <r>
          <rPr>
            <b/>
            <sz val="9"/>
            <color indexed="81"/>
            <rFont val="Tahoma"/>
            <charset val="1"/>
          </rPr>
          <t>Scott McLean:</t>
        </r>
        <r>
          <rPr>
            <sz val="9"/>
            <color indexed="81"/>
            <rFont val="Tahoma"/>
            <charset val="1"/>
          </rPr>
          <t xml:space="preserve">
Loan Originates June, 2026 for Occupancy Easter, 2027.</t>
        </r>
      </text>
    </comment>
    <comment ref="L44" authorId="0" shapeId="0" xr:uid="{AB6DE338-A5B8-4E61-B91F-EB8448C3CD63}">
      <text>
        <r>
          <rPr>
            <b/>
            <sz val="9"/>
            <color indexed="81"/>
            <rFont val="Tahoma"/>
            <charset val="1"/>
          </rPr>
          <t>Scott McLean:</t>
        </r>
        <r>
          <rPr>
            <sz val="9"/>
            <color indexed="81"/>
            <rFont val="Tahoma"/>
            <charset val="1"/>
          </rPr>
          <t xml:space="preserve">
Includes Cap Cam Revenue.</t>
        </r>
      </text>
    </comment>
    <comment ref="L45" authorId="0" shapeId="0" xr:uid="{EA62F334-BABB-4C42-B63D-4A4DFBD4133B}">
      <text>
        <r>
          <rPr>
            <b/>
            <sz val="9"/>
            <color indexed="81"/>
            <rFont val="Tahoma"/>
            <charset val="1"/>
          </rPr>
          <t>Scott McLean:</t>
        </r>
        <r>
          <rPr>
            <sz val="9"/>
            <color indexed="81"/>
            <rFont val="Tahoma"/>
            <charset val="1"/>
          </rPr>
          <t xml:space="preserve">
Lender's customary maximum loan amount.</t>
        </r>
      </text>
    </comment>
    <comment ref="E46" authorId="0" shapeId="0" xr:uid="{5C29532D-3FA0-412E-8318-74913EFD8A81}">
      <text>
        <r>
          <rPr>
            <b/>
            <sz val="9"/>
            <color indexed="81"/>
            <rFont val="Tahoma"/>
            <family val="2"/>
          </rPr>
          <t>Scott McLean:</t>
        </r>
        <r>
          <rPr>
            <sz val="9"/>
            <color indexed="81"/>
            <rFont val="Tahoma"/>
            <family val="2"/>
          </rPr>
          <t xml:space="preserve">
Includes $2.9M plus additonal $300K for recent new attenders who want to participate.</t>
        </r>
      </text>
    </comment>
    <comment ref="E47" authorId="0" shapeId="0" xr:uid="{899A274E-9950-4BB7-8A04-5559192054B7}">
      <text>
        <r>
          <rPr>
            <b/>
            <sz val="9"/>
            <color indexed="81"/>
            <rFont val="Tahoma"/>
            <family val="2"/>
          </rPr>
          <t>Scott McLean:</t>
        </r>
        <r>
          <rPr>
            <sz val="9"/>
            <color indexed="81"/>
            <rFont val="Tahoma"/>
            <family val="2"/>
          </rPr>
          <t xml:space="preserve">
See Yrs 2025, 2026 above.</t>
        </r>
      </text>
    </comment>
  </commentList>
</comments>
</file>

<file path=xl/sharedStrings.xml><?xml version="1.0" encoding="utf-8"?>
<sst xmlns="http://schemas.openxmlformats.org/spreadsheetml/2006/main" count="145" uniqueCount="100">
  <si>
    <t>Retained Income</t>
  </si>
  <si>
    <t>% of Budget</t>
  </si>
  <si>
    <t>Total Expenses</t>
  </si>
  <si>
    <t>PERCENTAGES</t>
  </si>
  <si>
    <t>TOTAL</t>
  </si>
  <si>
    <t>Expense Category</t>
  </si>
  <si>
    <t>Year</t>
  </si>
  <si>
    <t>A</t>
  </si>
  <si>
    <t>C</t>
  </si>
  <si>
    <t>D</t>
  </si>
  <si>
    <t>Delta</t>
  </si>
  <si>
    <t>HISTORICAL INCOME</t>
  </si>
  <si>
    <t xml:space="preserve">HISTORICAL EXPENSES </t>
  </si>
  <si>
    <r>
      <t xml:space="preserve">INCOME &amp; EXPENSES - </t>
    </r>
    <r>
      <rPr>
        <b/>
        <i/>
        <sz val="20"/>
        <color indexed="9"/>
        <rFont val="Proxima Nova"/>
        <family val="2"/>
      </rPr>
      <t>Historical</t>
    </r>
  </si>
  <si>
    <r>
      <t xml:space="preserve">INCOME &amp; EXPENSES - </t>
    </r>
    <r>
      <rPr>
        <b/>
        <i/>
        <sz val="20"/>
        <color indexed="9"/>
        <rFont val="Proxima Nova"/>
        <family val="2"/>
      </rPr>
      <t>Projected</t>
    </r>
  </si>
  <si>
    <r>
      <t xml:space="preserve">Total Expenses </t>
    </r>
    <r>
      <rPr>
        <sz val="10"/>
        <color theme="1"/>
        <rFont val="Proxima Nova"/>
        <family val="2"/>
      </rPr>
      <t>(from below)</t>
    </r>
  </si>
  <si>
    <t>Buidling Size</t>
  </si>
  <si>
    <t>Cost / SF</t>
  </si>
  <si>
    <t>Total Cost</t>
  </si>
  <si>
    <t>Interest Rate</t>
  </si>
  <si>
    <t>Cash Reqd</t>
  </si>
  <si>
    <t>Loan Amount</t>
  </si>
  <si>
    <t>Amortization Period</t>
  </si>
  <si>
    <t>E</t>
  </si>
  <si>
    <t xml:space="preserve">Personnel </t>
  </si>
  <si>
    <t>Operations</t>
  </si>
  <si>
    <t>Facility</t>
  </si>
  <si>
    <t>Seats</t>
  </si>
  <si>
    <t>Svcs</t>
  </si>
  <si>
    <t>#</t>
  </si>
  <si>
    <t>Adults</t>
  </si>
  <si>
    <t>Total</t>
  </si>
  <si>
    <t>Weekly</t>
  </si>
  <si>
    <t>Occpcy</t>
  </si>
  <si>
    <t>Child</t>
  </si>
  <si>
    <t>Adult</t>
  </si>
  <si>
    <t>Attend</t>
  </si>
  <si>
    <t># Seats</t>
  </si>
  <si>
    <r>
      <t xml:space="preserve">Attendance &amp; Giving - </t>
    </r>
    <r>
      <rPr>
        <b/>
        <i/>
        <sz val="16"/>
        <color theme="0"/>
        <rFont val="Proxima Nova"/>
        <family val="2"/>
      </rPr>
      <t xml:space="preserve">Historical </t>
    </r>
    <r>
      <rPr>
        <b/>
        <i/>
        <sz val="14"/>
        <color theme="0"/>
        <rFont val="Proxima Nova"/>
        <family val="2"/>
      </rPr>
      <t>and</t>
    </r>
    <r>
      <rPr>
        <b/>
        <i/>
        <sz val="16"/>
        <color theme="0"/>
        <rFont val="Proxima Nova"/>
        <family val="2"/>
      </rPr>
      <t xml:space="preserve"> Projected</t>
    </r>
  </si>
  <si>
    <t>Room</t>
  </si>
  <si>
    <t>N/A</t>
  </si>
  <si>
    <t>Debt Capacity</t>
  </si>
  <si>
    <t>Current Debt</t>
  </si>
  <si>
    <t>GOI per Attender</t>
  </si>
  <si>
    <t>Observations</t>
  </si>
  <si>
    <t xml:space="preserve">  ************************************************   Debt Elimination Plan  *********************************************</t>
  </si>
  <si>
    <t>Calendar</t>
  </si>
  <si>
    <t>Debt Service</t>
  </si>
  <si>
    <t>Total Loan</t>
  </si>
  <si>
    <t>Other</t>
  </si>
  <si>
    <t>Completed By:</t>
  </si>
  <si>
    <t>Total Revenue</t>
  </si>
  <si>
    <t>Scott McLean</t>
  </si>
  <si>
    <t>Rev per Attender</t>
  </si>
  <si>
    <t>1 FTE = $80K</t>
  </si>
  <si>
    <t>School</t>
  </si>
  <si>
    <t>Annual Cost</t>
  </si>
  <si>
    <t>The Hub</t>
  </si>
  <si>
    <t>Offices</t>
  </si>
  <si>
    <t>Type</t>
  </si>
  <si>
    <t>Years</t>
  </si>
  <si>
    <t>New Facility</t>
  </si>
  <si>
    <t>OpEx ($5.00/SF)</t>
  </si>
  <si>
    <t>Retained Income %</t>
  </si>
  <si>
    <t>Loan-to-Cost</t>
  </si>
  <si>
    <t>Loan to Cost</t>
  </si>
  <si>
    <t>2022-2024 actuals shown on Attenance Worksheet</t>
  </si>
  <si>
    <t>General Operating Income</t>
  </si>
  <si>
    <t>Gen Operating Income</t>
  </si>
  <si>
    <t>Capital Campaign</t>
  </si>
  <si>
    <t>Total Income</t>
  </si>
  <si>
    <t>F</t>
  </si>
  <si>
    <t>Building (SF)</t>
  </si>
  <si>
    <t>Cash on Hand</t>
  </si>
  <si>
    <t>Total Project Cost</t>
  </si>
  <si>
    <t>Project Funding</t>
  </si>
  <si>
    <t>Gap</t>
  </si>
  <si>
    <t>G</t>
  </si>
  <si>
    <t>H</t>
  </si>
  <si>
    <t>Capital Campaign Income</t>
  </si>
  <si>
    <t>2025 Revenue</t>
  </si>
  <si>
    <r>
      <t xml:space="preserve">Attendance &amp; Giving - </t>
    </r>
    <r>
      <rPr>
        <b/>
        <i/>
        <sz val="16"/>
        <color theme="0"/>
        <rFont val="Proxima Nova"/>
        <family val="2"/>
      </rPr>
      <t>Historical</t>
    </r>
  </si>
  <si>
    <t>Existing Facility / Operating Costs</t>
  </si>
  <si>
    <t>New Facility / Financing</t>
  </si>
  <si>
    <t>New Facility Operating Costs</t>
  </si>
  <si>
    <t>B1</t>
  </si>
  <si>
    <t>B2</t>
  </si>
  <si>
    <r>
      <rPr>
        <b/>
        <sz val="10"/>
        <color theme="1"/>
        <rFont val="Proxima Nova"/>
        <family val="2"/>
      </rPr>
      <t>Operations</t>
    </r>
    <r>
      <rPr>
        <sz val="10"/>
        <color theme="1"/>
        <rFont val="Proxima Nova"/>
        <family val="2"/>
      </rPr>
      <t xml:space="preserve"> account for 33% of Revenue and averaged $656/attender in 2023. We have extrapolated this per person cost going forward to remain the same.</t>
    </r>
  </si>
  <si>
    <r>
      <rPr>
        <b/>
        <sz val="10"/>
        <color theme="1"/>
        <rFont val="Proxima Nova"/>
        <family val="2"/>
      </rPr>
      <t>New Facility Operating Expenses (Box B2).</t>
    </r>
    <r>
      <rPr>
        <sz val="10"/>
        <color theme="1"/>
        <rFont val="Proxima Nova"/>
        <family val="2"/>
      </rPr>
      <t xml:space="preserve">  The costs to operate the new building will be approximately $5.00/SF which is consistent with similar commerical/church properties. This cost does not include property taxes or the cost to manage the new building. The church will need to find a person who can manage the new building (and perhaps have the same staff person oversee scheduling/set-up for building events).</t>
    </r>
  </si>
  <si>
    <r>
      <t xml:space="preserve">2027 </t>
    </r>
    <r>
      <rPr>
        <sz val="11"/>
        <color theme="0"/>
        <rFont val="Proxima Nova"/>
        <family val="2"/>
      </rPr>
      <t xml:space="preserve"> (5mo@old; 7mo@new)</t>
    </r>
  </si>
  <si>
    <t>2X's Annual</t>
  </si>
  <si>
    <r>
      <t>2028</t>
    </r>
    <r>
      <rPr>
        <sz val="11"/>
        <color theme="0"/>
        <rFont val="Proxima Nova"/>
        <family val="2"/>
      </rPr>
      <t xml:space="preserve">  (400 seats - 3 Svcs)</t>
    </r>
  </si>
  <si>
    <r>
      <t xml:space="preserve">2029 </t>
    </r>
    <r>
      <rPr>
        <b/>
        <sz val="11"/>
        <color theme="0"/>
        <rFont val="Proxima Nova"/>
        <family val="2"/>
      </rPr>
      <t xml:space="preserve"> </t>
    </r>
    <r>
      <rPr>
        <sz val="11"/>
        <color theme="0"/>
        <rFont val="Proxima Nova"/>
        <family val="2"/>
      </rPr>
      <t>(400 seats - 3 Svcs)</t>
    </r>
  </si>
  <si>
    <r>
      <rPr>
        <b/>
        <sz val="10"/>
        <color theme="1"/>
        <rFont val="Proxima Nova"/>
        <family val="2"/>
      </rPr>
      <t xml:space="preserve">Attendance (Box A) </t>
    </r>
    <r>
      <rPr>
        <sz val="10"/>
        <color theme="1"/>
        <rFont val="Proxima Nova"/>
        <family val="2"/>
      </rPr>
      <t xml:space="preserve">will increase at the ______ location with the anticipation of the new building and obviously at the new building when it open (hopefully by Easter 2026). It is true that you "build it and they will come" - especially young families with children. Future projected Children's attendance is calculated as a percentage of Adult attendance as shown in blue font to the right of the table. We have also determined that the max Children's classroom capacity should be 25% of the Adult Sanctuary capacity (450). Projected attendance for 2027 is shown in 2 rows - 3 months while still at Stillwater and 9 months in the new facility. </t>
    </r>
  </si>
  <si>
    <r>
      <rPr>
        <b/>
        <sz val="10"/>
        <color theme="1"/>
        <rFont val="Proxima Nova"/>
        <family val="2"/>
      </rPr>
      <t>Giving</t>
    </r>
    <r>
      <rPr>
        <sz val="10"/>
        <color theme="1"/>
        <rFont val="Proxima Nova"/>
        <family val="2"/>
      </rPr>
      <t xml:space="preserve"> </t>
    </r>
    <r>
      <rPr>
        <b/>
        <sz val="10"/>
        <color theme="1"/>
        <rFont val="Proxima Nova"/>
        <family val="2"/>
      </rPr>
      <t>(Box A)</t>
    </r>
    <r>
      <rPr>
        <sz val="10"/>
        <color theme="1"/>
        <rFont val="Proxima Nova"/>
        <family val="2"/>
      </rPr>
      <t xml:space="preserve"> for future years, in the amount of $2,200 per attender (adults and children combined) per year, was determined by first analyzing your church's historical data. Giving will drop slightly (per Attender) once the capital campaign is announced as some attenders will use their personal income to supplement personal savings. Giving will also drop (per Attender) when the new building opens because it generally takes new attenders about 6 months to start participating financially. </t>
    </r>
  </si>
  <si>
    <r>
      <rPr>
        <b/>
        <sz val="10"/>
        <color theme="1"/>
        <rFont val="Proxima Nova"/>
        <family val="2"/>
      </rPr>
      <t>Existing Facility / Operating Costs (Box B1)</t>
    </r>
    <r>
      <rPr>
        <sz val="10"/>
        <color theme="1"/>
        <rFont val="Proxima Nova"/>
        <family val="2"/>
      </rPr>
      <t xml:space="preserve"> were estimated from your church's 2022-2024 Income Statements. While not critical to future planning, knowing this would provide perspective. Needless to say, your church has had very low facility costs to date.</t>
    </r>
  </si>
  <si>
    <r>
      <rPr>
        <b/>
        <sz val="10"/>
        <color theme="1"/>
        <rFont val="Proxima Nova"/>
        <family val="2"/>
      </rPr>
      <t>New Facility / Financing (Box C)</t>
    </r>
    <r>
      <rPr>
        <sz val="10"/>
        <color theme="1"/>
        <rFont val="Proxima Nova"/>
        <family val="2"/>
      </rPr>
      <t xml:space="preserve"> is the proposed future project based upon the # seats, 50 SF per seat for a fully functioning church facility, and the predicted cost for a ground up development. The Loan-to-Cost percentage determines the Loan Amount which is chosen to </t>
    </r>
    <r>
      <rPr>
        <i/>
        <u/>
        <sz val="10"/>
        <color theme="1"/>
        <rFont val="Proxima Nova"/>
        <family val="2"/>
      </rPr>
      <t>align with your church's Debt Capacity shown in Box H at the bottom</t>
    </r>
    <r>
      <rPr>
        <sz val="10"/>
        <color theme="1"/>
        <rFont val="Proxima Nova"/>
        <family val="2"/>
      </rPr>
      <t>. We are predicting that, when the new Loan originates on or about June, 2025, interest rates will have dropped. We expect be able to obtain a 25 year amortization period which results in smaller payments (versus more commercial terms of 20 years).</t>
    </r>
  </si>
  <si>
    <r>
      <t xml:space="preserve">Historical Income and Expenses shown in </t>
    </r>
    <r>
      <rPr>
        <b/>
        <sz val="10"/>
        <color theme="1"/>
        <rFont val="Proxima Nova"/>
        <family val="2"/>
      </rPr>
      <t>Box D</t>
    </r>
    <r>
      <rPr>
        <sz val="10"/>
        <color theme="1"/>
        <rFont val="Proxima Nova"/>
        <family val="2"/>
      </rPr>
      <t xml:space="preserve"> came from your church's 2022-2024 Income Statements. Amounts for 2024 were determine by taking YTD data (through May) from the 2024 Income Statement and projecting it forward.  </t>
    </r>
    <r>
      <rPr>
        <i/>
        <u/>
        <sz val="10"/>
        <color theme="1"/>
        <rFont val="Proxima Nova"/>
        <family val="2"/>
      </rPr>
      <t>The meat of this spreadsheet tool is shown on the right side of Box D where Income and Expenses are projected into the future</t>
    </r>
    <r>
      <rPr>
        <i/>
        <sz val="10"/>
        <color theme="1"/>
        <rFont val="Proxima Nova"/>
        <family val="2"/>
      </rPr>
      <t xml:space="preserve">.  </t>
    </r>
    <r>
      <rPr>
        <sz val="10"/>
        <color theme="1"/>
        <rFont val="Proxima Nova"/>
        <family val="2"/>
      </rPr>
      <t>Instead of explaining each noted cell, please move your mouse over cells that have a red triangle in the corner referencing a note. We always recommend that a church spend up to 90% of its income, to retain 10% (</t>
    </r>
    <r>
      <rPr>
        <b/>
        <sz val="10"/>
        <color theme="1"/>
        <rFont val="Proxima Nova"/>
        <family val="2"/>
      </rPr>
      <t>Retained Income</t>
    </r>
    <r>
      <rPr>
        <sz val="10"/>
        <color theme="1"/>
        <rFont val="Proxima Nova"/>
        <family val="2"/>
      </rPr>
      <t>) to fund the Project and/or to eventually pay down debt. Finally, the income is a bit light and the costs a bit heavy in the first year of the new facliity, so I'm expecting that we'll need to use some of the raised funds to subsidize this first year. This is pretty normal. A lender that understands church project underwriting will agree.</t>
    </r>
  </si>
  <si>
    <r>
      <rPr>
        <b/>
        <sz val="10"/>
        <color theme="1"/>
        <rFont val="Proxima Nova"/>
        <family val="2"/>
      </rPr>
      <t>Personnel</t>
    </r>
    <r>
      <rPr>
        <sz val="10"/>
        <color theme="1"/>
        <rFont val="Proxima Nova"/>
        <family val="2"/>
      </rPr>
      <t xml:space="preserve"> costs as a % of budget in 2023 and especially in 2024 are higher than the norm but are projected to decline when the expansion space is completed. We recommend that your church keep Personnel at or below 45% going forward. We don't know how many FTE's your church now has, but based on average salary/beneifits package of $80K, it could have 7 FTE's. We have allowed adding 4 FTE's when the expanded building opens. It is critical that your church resist the temptation to add more staff as it grows. However, that said, your church does have the enviable position of having excess cash (predicted) which can be used to pay for more operations or to reduce debt. We strongly recommend that your church use this to reduce debt!!!</t>
    </r>
  </si>
  <si>
    <t>Existing Facility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</si>
</sst>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7" formatCode="&quot;$&quot;#,##0.00_);\(&quot;$&quot;#,##0.00\)"/>
    <numFmt numFmtId="42" formatCode="_(&quot;$&quot;* #,##0_);_(&quot;$&quot;* \(#,##0\);_(&quot;$&quot;* &quot;-&quot;_);_(@_)"/>
    <numFmt numFmtId="44" formatCode="_(&quot;$&quot;* #,##0.00_);_(&quot;$&quot;* \(#,##0.00\);_(&quot;$&quot;* &quot;-&quot;??_);_(@_)"/>
    <numFmt numFmtId="43" formatCode="_(* #,##0.00_);_(* \(#,##0.00\);_(* &quot;-&quot;??_);_(@_)"/>
    <numFmt numFmtId="164" formatCode="0.0%"/>
    <numFmt numFmtId="165" formatCode="0.0"/>
    <numFmt numFmtId="166" formatCode="_(* #,##0_);_(* \(#,##0\);_(* &quot;-&quot;??_);_(@_)"/>
    <numFmt numFmtId="167" formatCode="_(&quot;$&quot;* #,##0_);_(&quot;$&quot;* \(#,##0\);_(&quot;$&quot;* &quot;-&quot;??_);_(@_)"/>
  </numFmts>
  <fonts count="49" x14ac:knownFonts="1">
    <font>
      <sz val="11"/>
      <color theme="1"/>
      <name val="Calibri"/>
      <family val="2"/>
      <scheme val="minor"/>
    </font>
    <font>
      <sz val="11"/>
      <color theme="1"/>
      <name val="Proxima Nova"/>
      <family val="2"/>
    </font>
    <font>
      <sz val="11"/>
      <color theme="1"/>
      <name val="Calibri"/>
      <family val="2"/>
      <scheme val="minor"/>
    </font>
    <font>
      <b/>
      <sz val="11"/>
      <color theme="1"/>
      <name val="Calibri"/>
      <family val="2"/>
      <scheme val="minor"/>
    </font>
    <font>
      <b/>
      <sz val="48"/>
      <color theme="0"/>
      <name val="Proxima Nova"/>
      <family val="2"/>
    </font>
    <font>
      <b/>
      <sz val="16"/>
      <color theme="0"/>
      <name val="Proxima Nova"/>
      <family val="2"/>
    </font>
    <font>
      <b/>
      <i/>
      <sz val="16"/>
      <color theme="0"/>
      <name val="Proxima Nova"/>
      <family val="2"/>
    </font>
    <font>
      <b/>
      <i/>
      <sz val="14"/>
      <color theme="0"/>
      <name val="Proxima Nova"/>
      <family val="2"/>
    </font>
    <font>
      <sz val="11"/>
      <color theme="1"/>
      <name val="Proxima Nova"/>
      <family val="2"/>
    </font>
    <font>
      <b/>
      <sz val="11"/>
      <color theme="0"/>
      <name val="Proxima Nova"/>
      <family val="2"/>
    </font>
    <font>
      <b/>
      <sz val="10"/>
      <name val="Proxima Nova"/>
      <family val="2"/>
    </font>
    <font>
      <b/>
      <u/>
      <sz val="12"/>
      <color theme="0"/>
      <name val="Proxima Nova"/>
      <family val="2"/>
    </font>
    <font>
      <sz val="10"/>
      <color theme="1"/>
      <name val="Proxima Nova"/>
      <family val="2"/>
    </font>
    <font>
      <b/>
      <sz val="11"/>
      <color theme="1"/>
      <name val="Proxima Nova"/>
      <family val="2"/>
    </font>
    <font>
      <b/>
      <sz val="10"/>
      <color theme="0"/>
      <name val="Proxima Nova"/>
      <family val="2"/>
    </font>
    <font>
      <u/>
      <sz val="11"/>
      <color theme="1"/>
      <name val="Proxima Nova"/>
      <family val="2"/>
    </font>
    <font>
      <u val="singleAccounting"/>
      <sz val="10"/>
      <color theme="1"/>
      <name val="Proxima Nova"/>
      <family val="2"/>
    </font>
    <font>
      <u val="singleAccounting"/>
      <sz val="11"/>
      <color theme="1"/>
      <name val="Proxima Nova"/>
      <family val="2"/>
    </font>
    <font>
      <sz val="9"/>
      <color theme="1"/>
      <name val="Proxima Nova"/>
      <family val="2"/>
    </font>
    <font>
      <b/>
      <sz val="12"/>
      <color theme="0"/>
      <name val="Proxima Nova"/>
      <family val="2"/>
    </font>
    <font>
      <b/>
      <sz val="10"/>
      <color theme="1"/>
      <name val="Proxima Nova"/>
      <family val="2"/>
    </font>
    <font>
      <b/>
      <sz val="20"/>
      <color indexed="9"/>
      <name val="Proxima Nova"/>
      <family val="2"/>
    </font>
    <font>
      <b/>
      <i/>
      <sz val="20"/>
      <color indexed="9"/>
      <name val="Proxima Nova"/>
      <family val="2"/>
    </font>
    <font>
      <b/>
      <sz val="14"/>
      <color theme="0"/>
      <name val="Proxima Nova"/>
      <family val="2"/>
    </font>
    <font>
      <b/>
      <u/>
      <sz val="11"/>
      <color theme="1"/>
      <name val="Proxima Nova"/>
      <family val="2"/>
    </font>
    <font>
      <b/>
      <u/>
      <sz val="11"/>
      <color theme="0"/>
      <name val="Proxima Nova"/>
      <family val="2"/>
    </font>
    <font>
      <b/>
      <sz val="8"/>
      <color theme="0"/>
      <name val="Proxima Nova"/>
      <family val="2"/>
    </font>
    <font>
      <b/>
      <sz val="16"/>
      <color rgb="FFFF0000"/>
      <name val="Proxima Nova"/>
      <family val="2"/>
    </font>
    <font>
      <b/>
      <sz val="14"/>
      <color rgb="FFFF0000"/>
      <name val="Proxima Nova"/>
      <family val="2"/>
    </font>
    <font>
      <b/>
      <u val="singleAccounting"/>
      <sz val="11"/>
      <color theme="1"/>
      <name val="Proxima Nova"/>
      <family val="2"/>
    </font>
    <font>
      <u val="doubleAccounting"/>
      <sz val="11"/>
      <color theme="1"/>
      <name val="Proxima Nova"/>
      <family val="2"/>
    </font>
    <font>
      <b/>
      <sz val="9"/>
      <color theme="1"/>
      <name val="Proxima Nova"/>
      <family val="2"/>
    </font>
    <font>
      <b/>
      <sz val="12"/>
      <color theme="1"/>
      <name val="Proxima Nova"/>
      <family val="2"/>
    </font>
    <font>
      <sz val="11"/>
      <color rgb="FF0000CC"/>
      <name val="Proxima Nova"/>
      <family val="2"/>
    </font>
    <font>
      <b/>
      <sz val="11"/>
      <color rgb="FF0000CC"/>
      <name val="Proxima Nova"/>
      <family val="2"/>
    </font>
    <font>
      <b/>
      <u/>
      <sz val="14"/>
      <color theme="1"/>
      <name val="Proxima Nova"/>
      <family val="2"/>
    </font>
    <font>
      <b/>
      <sz val="8"/>
      <color rgb="FF0000CC"/>
      <name val="Proxima Nova"/>
      <family val="2"/>
    </font>
    <font>
      <sz val="10"/>
      <color theme="1"/>
      <name val="Calibri"/>
      <family val="2"/>
      <scheme val="minor"/>
    </font>
    <font>
      <sz val="11"/>
      <color rgb="FFFF0000"/>
      <name val="Proxima Nova"/>
      <family val="2"/>
    </font>
    <font>
      <sz val="11"/>
      <color theme="0"/>
      <name val="Proxima Nova"/>
      <family val="2"/>
    </font>
    <font>
      <sz val="8"/>
      <color theme="1"/>
      <name val="Proxima Nova"/>
      <family val="2"/>
    </font>
    <font>
      <sz val="9"/>
      <color indexed="81"/>
      <name val="Tahoma"/>
      <family val="2"/>
    </font>
    <font>
      <b/>
      <sz val="9"/>
      <color indexed="81"/>
      <name val="Tahoma"/>
      <family val="2"/>
    </font>
    <font>
      <b/>
      <u/>
      <sz val="11"/>
      <color rgb="FFFF0000"/>
      <name val="Proxima Nova"/>
      <family val="2"/>
    </font>
    <font>
      <sz val="9"/>
      <color indexed="81"/>
      <name val="Tahoma"/>
      <charset val="1"/>
    </font>
    <font>
      <b/>
      <sz val="9"/>
      <color indexed="81"/>
      <name val="Tahoma"/>
      <charset val="1"/>
    </font>
    <font>
      <i/>
      <u/>
      <sz val="10"/>
      <color theme="1"/>
      <name val="Proxima Nova"/>
      <family val="2"/>
    </font>
    <font>
      <i/>
      <sz val="10"/>
      <color theme="1"/>
      <name val="Proxima Nova"/>
      <family val="2"/>
    </font>
    <font>
      <b/>
      <sz val="11"/>
      <color rgb="FFFF0000"/>
      <name val="Proxima Nova"/>
      <family val="2"/>
    </font>
  </fonts>
  <fills count="12">
    <fill>
      <patternFill patternType="none"/>
    </fill>
    <fill>
      <patternFill patternType="gray125"/>
    </fill>
    <fill>
      <patternFill patternType="solid">
        <fgColor theme="0" tint="-0.34998626667073579"/>
        <bgColor indexed="64"/>
      </patternFill>
    </fill>
    <fill>
      <patternFill patternType="solid">
        <fgColor theme="1"/>
        <bgColor indexed="64"/>
      </patternFill>
    </fill>
    <fill>
      <patternFill patternType="solid">
        <fgColor theme="0" tint="-0.499984740745262"/>
        <bgColor indexed="64"/>
      </patternFill>
    </fill>
    <fill>
      <patternFill patternType="solid">
        <fgColor rgb="FFFFFFCC"/>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FF99"/>
        <bgColor indexed="64"/>
      </patternFill>
    </fill>
  </fills>
  <borders count="147">
    <border>
      <left/>
      <right/>
      <top/>
      <bottom/>
      <diagonal/>
    </border>
    <border>
      <left/>
      <right style="medium">
        <color indexed="64"/>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thick">
        <color rgb="FF006600"/>
      </right>
      <top/>
      <bottom/>
      <diagonal/>
    </border>
    <border>
      <left style="medium">
        <color indexed="64"/>
      </left>
      <right/>
      <top style="medium">
        <color indexed="64"/>
      </top>
      <bottom/>
      <diagonal/>
    </border>
    <border>
      <left style="medium">
        <color indexed="64"/>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indexed="64"/>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theme="0" tint="-0.14996795556505021"/>
      </left>
      <right style="medium">
        <color indexed="64"/>
      </right>
      <top style="thin">
        <color theme="0" tint="-0.14996795556505021"/>
      </top>
      <bottom style="medium">
        <color indexed="64"/>
      </bottom>
      <diagonal/>
    </border>
    <border>
      <left style="thick">
        <color rgb="FFFF0000"/>
      </left>
      <right style="thick">
        <color rgb="FFFF0000"/>
      </right>
      <top style="thick">
        <color rgb="FFFF0000"/>
      </top>
      <bottom style="thick">
        <color rgb="FFFF0000"/>
      </bottom>
      <diagonal/>
    </border>
    <border>
      <left style="medium">
        <color indexed="64"/>
      </left>
      <right style="thin">
        <color theme="0" tint="-0.14996795556505021"/>
      </right>
      <top style="thin">
        <color theme="0" tint="-0.14996795556505021"/>
      </top>
      <bottom style="thin">
        <color theme="0" tint="-0.14996795556505021"/>
      </bottom>
      <diagonal/>
    </border>
    <border>
      <left style="medium">
        <color indexed="64"/>
      </left>
      <right style="thin">
        <color theme="0" tint="-0.14996795556505021"/>
      </right>
      <top style="thin">
        <color theme="0" tint="-0.14996795556505021"/>
      </top>
      <bottom style="medium">
        <color indexed="64"/>
      </bottom>
      <diagonal/>
    </border>
    <border>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indexed="64"/>
      </right>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style="thin">
        <color theme="0" tint="-0.14996795556505021"/>
      </right>
      <top style="thin">
        <color theme="0" tint="-0.14996795556505021"/>
      </top>
      <bottom style="medium">
        <color indexed="64"/>
      </bottom>
      <diagonal/>
    </border>
    <border>
      <left style="medium">
        <color indexed="64"/>
      </left>
      <right style="thin">
        <color theme="0" tint="-0.14996795556505021"/>
      </right>
      <top/>
      <bottom style="thin">
        <color theme="0" tint="-0.14996795556505021"/>
      </bottom>
      <diagonal/>
    </border>
    <border>
      <left style="thin">
        <color theme="0" tint="-0.14996795556505021"/>
      </left>
      <right style="thick">
        <color rgb="FF006600"/>
      </right>
      <top/>
      <bottom style="thin">
        <color theme="0" tint="-0.14996795556505021"/>
      </bottom>
      <diagonal/>
    </border>
    <border>
      <left style="thin">
        <color theme="0" tint="-0.14996795556505021"/>
      </left>
      <right style="thick">
        <color rgb="FF006600"/>
      </right>
      <top style="thin">
        <color theme="0" tint="-0.14996795556505021"/>
      </top>
      <bottom style="thin">
        <color theme="0" tint="-0.14996795556505021"/>
      </bottom>
      <diagonal/>
    </border>
    <border>
      <left style="thin">
        <color theme="0" tint="-0.14996795556505021"/>
      </left>
      <right style="thick">
        <color rgb="FF006600"/>
      </right>
      <top style="thin">
        <color theme="0" tint="-0.14996795556505021"/>
      </top>
      <bottom style="medium">
        <color indexed="64"/>
      </bottom>
      <diagonal/>
    </border>
    <border>
      <left style="thin">
        <color theme="0" tint="-0.14996795556505021"/>
      </left>
      <right style="medium">
        <color indexed="64"/>
      </right>
      <top/>
      <bottom style="medium">
        <color indexed="64"/>
      </bottom>
      <diagonal/>
    </border>
    <border>
      <left style="thin">
        <color theme="0" tint="-0.14993743705557422"/>
      </left>
      <right style="medium">
        <color indexed="64"/>
      </right>
      <top/>
      <bottom style="thin">
        <color theme="0" tint="-0.14993743705557422"/>
      </bottom>
      <diagonal/>
    </border>
    <border>
      <left style="thin">
        <color theme="0" tint="-0.14993743705557422"/>
      </left>
      <right style="medium">
        <color indexed="64"/>
      </right>
      <top style="thin">
        <color theme="0" tint="-0.14993743705557422"/>
      </top>
      <bottom style="thin">
        <color theme="0" tint="-0.14993743705557422"/>
      </bottom>
      <diagonal/>
    </border>
    <border>
      <left style="thin">
        <color theme="0" tint="-0.14996795556505021"/>
      </left>
      <right style="medium">
        <color indexed="64"/>
      </right>
      <top style="thin">
        <color theme="0" tint="-0.14996795556505021"/>
      </top>
      <bottom style="thin">
        <color indexed="64"/>
      </bottom>
      <diagonal/>
    </border>
    <border>
      <left style="thin">
        <color theme="0" tint="-0.14996795556505021"/>
      </left>
      <right style="thin">
        <color theme="0" tint="-0.14996795556505021"/>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3743705557422"/>
      </top>
      <bottom style="thin">
        <color theme="0" tint="-0.14996795556505021"/>
      </bottom>
      <diagonal/>
    </border>
    <border>
      <left style="thin">
        <color theme="0" tint="-0.14996795556505021"/>
      </left>
      <right style="medium">
        <color indexed="64"/>
      </right>
      <top style="thin">
        <color theme="0" tint="-0.14993743705557422"/>
      </top>
      <bottom style="thin">
        <color theme="0" tint="-0.14996795556505021"/>
      </bottom>
      <diagonal/>
    </border>
    <border>
      <left/>
      <right style="medium">
        <color indexed="64"/>
      </right>
      <top/>
      <bottom style="thin">
        <color theme="0" tint="-0.14996795556505021"/>
      </bottom>
      <diagonal/>
    </border>
    <border>
      <left style="medium">
        <color indexed="64"/>
      </left>
      <right/>
      <top/>
      <bottom style="thin">
        <color theme="0" tint="-0.14993743705557422"/>
      </bottom>
      <diagonal/>
    </border>
    <border>
      <left/>
      <right/>
      <top/>
      <bottom style="thin">
        <color theme="0" tint="-0.14993743705557422"/>
      </bottom>
      <diagonal/>
    </border>
    <border>
      <left/>
      <right style="medium">
        <color indexed="64"/>
      </right>
      <top/>
      <bottom style="thin">
        <color theme="0" tint="-0.14993743705557422"/>
      </bottom>
      <diagonal/>
    </border>
    <border>
      <left/>
      <right style="thick">
        <color theme="0"/>
      </right>
      <top style="medium">
        <color indexed="64"/>
      </top>
      <bottom/>
      <diagonal/>
    </border>
    <border>
      <left/>
      <right style="thick">
        <color theme="0"/>
      </right>
      <top/>
      <bottom/>
      <diagonal/>
    </border>
    <border>
      <left/>
      <right/>
      <top style="thick">
        <color theme="0"/>
      </top>
      <bottom/>
      <diagonal/>
    </border>
    <border>
      <left/>
      <right/>
      <top style="medium">
        <color indexed="64"/>
      </top>
      <bottom style="medium">
        <color theme="0" tint="-0.34998626667073579"/>
      </bottom>
      <diagonal/>
    </border>
    <border>
      <left/>
      <right style="medium">
        <color indexed="64"/>
      </right>
      <top style="medium">
        <color indexed="64"/>
      </top>
      <bottom style="medium">
        <color theme="0" tint="-0.34998626667073579"/>
      </bottom>
      <diagonal/>
    </border>
    <border>
      <left/>
      <right style="medium">
        <color indexed="64"/>
      </right>
      <top/>
      <bottom style="medium">
        <color indexed="64"/>
      </bottom>
      <diagonal/>
    </border>
    <border>
      <left style="thin">
        <color theme="0" tint="-0.14996795556505021"/>
      </left>
      <right/>
      <top/>
      <bottom style="thin">
        <color theme="0" tint="-0.14996795556505021"/>
      </bottom>
      <diagonal/>
    </border>
    <border>
      <left style="thin">
        <color theme="0" tint="-0.14996795556505021"/>
      </left>
      <right/>
      <top/>
      <bottom style="medium">
        <color indexed="64"/>
      </bottom>
      <diagonal/>
    </border>
    <border>
      <left style="thick">
        <color theme="0"/>
      </left>
      <right/>
      <top style="medium">
        <color indexed="64"/>
      </top>
      <bottom/>
      <diagonal/>
    </border>
    <border>
      <left style="thick">
        <color theme="0"/>
      </left>
      <right style="thin">
        <color theme="0" tint="-0.14996795556505021"/>
      </right>
      <top style="thin">
        <color theme="0" tint="-0.14996795556505021"/>
      </top>
      <bottom style="thin">
        <color theme="0" tint="-0.14996795556505021"/>
      </bottom>
      <diagonal/>
    </border>
    <border>
      <left style="thick">
        <color theme="0"/>
      </left>
      <right style="thin">
        <color theme="0" tint="-0.14996795556505021"/>
      </right>
      <top style="thin">
        <color theme="0" tint="-0.14996795556505021"/>
      </top>
      <bottom style="medium">
        <color indexed="64"/>
      </bottom>
      <diagonal/>
    </border>
    <border>
      <left style="thick">
        <color theme="0"/>
      </left>
      <right style="thin">
        <color theme="0" tint="-0.14996795556505021"/>
      </right>
      <top/>
      <bottom style="thin">
        <color theme="0" tint="-0.14996795556505021"/>
      </bottom>
      <diagonal/>
    </border>
    <border>
      <left style="thick">
        <color theme="0"/>
      </left>
      <right style="thin">
        <color theme="0" tint="-0.14996795556505021"/>
      </right>
      <top style="thin">
        <color theme="0" tint="-0.14996795556505021"/>
      </top>
      <bottom style="thick">
        <color rgb="FF006600"/>
      </bottom>
      <diagonal/>
    </border>
    <border>
      <left style="thin">
        <color theme="0" tint="-0.14996795556505021"/>
      </left>
      <right style="thin">
        <color theme="0" tint="-0.14996795556505021"/>
      </right>
      <top style="thin">
        <color theme="0" tint="-0.14996795556505021"/>
      </top>
      <bottom style="thick">
        <color rgb="FF006600"/>
      </bottom>
      <diagonal/>
    </border>
    <border>
      <left/>
      <right style="thin">
        <color theme="0" tint="-0.14996795556505021"/>
      </right>
      <top style="thin">
        <color theme="0" tint="-0.14996795556505021"/>
      </top>
      <bottom style="thin">
        <color indexed="64"/>
      </bottom>
      <diagonal/>
    </border>
    <border>
      <left/>
      <right style="thin">
        <color theme="0" tint="-0.14996795556505021"/>
      </right>
      <top/>
      <bottom style="medium">
        <color indexed="64"/>
      </bottom>
      <diagonal/>
    </border>
    <border>
      <left style="medium">
        <color indexed="64"/>
      </left>
      <right style="thin">
        <color theme="0" tint="-0.14996795556505021"/>
      </right>
      <top/>
      <bottom style="medium">
        <color indexed="64"/>
      </bottom>
      <diagonal/>
    </border>
    <border>
      <left style="medium">
        <color indexed="64"/>
      </left>
      <right style="thin">
        <color theme="0" tint="-0.14996795556505021"/>
      </right>
      <top style="thin">
        <color theme="0" tint="-0.14996795556505021"/>
      </top>
      <bottom style="thin">
        <color indexed="64"/>
      </bottom>
      <diagonal/>
    </border>
    <border>
      <left style="thick">
        <color theme="0"/>
      </left>
      <right/>
      <top style="thick">
        <color theme="0"/>
      </top>
      <bottom/>
      <diagonal/>
    </border>
    <border>
      <left style="thick">
        <color theme="0"/>
      </left>
      <right/>
      <top/>
      <bottom style="thin">
        <color theme="0"/>
      </bottom>
      <diagonal/>
    </border>
    <border>
      <left/>
      <right/>
      <top/>
      <bottom style="thin">
        <color theme="0"/>
      </bottom>
      <diagonal/>
    </border>
    <border>
      <left style="thick">
        <color theme="0"/>
      </left>
      <right style="thin">
        <color theme="0" tint="-0.14996795556505021"/>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medium">
        <color indexed="64"/>
      </right>
      <top style="thin">
        <color theme="0" tint="-0.14996795556505021"/>
      </top>
      <bottom/>
      <diagonal/>
    </border>
    <border>
      <left style="thin">
        <color theme="0" tint="-0.14996795556505021"/>
      </left>
      <right style="thin">
        <color theme="0" tint="-0.14996795556505021"/>
      </right>
      <top/>
      <bottom/>
      <diagonal/>
    </border>
    <border>
      <left style="thin">
        <color theme="0" tint="-0.14996795556505021"/>
      </left>
      <right style="medium">
        <color indexed="64"/>
      </right>
      <top/>
      <bottom/>
      <diagonal/>
    </border>
    <border>
      <left style="thin">
        <color theme="0" tint="-0.14996795556505021"/>
      </left>
      <right style="medium">
        <color indexed="64"/>
      </right>
      <top/>
      <bottom style="thin">
        <color theme="0" tint="-0.14993743705557422"/>
      </bottom>
      <diagonal/>
    </border>
    <border>
      <left style="thin">
        <color theme="0" tint="-0.14996795556505021"/>
      </left>
      <right style="thin">
        <color theme="0" tint="-0.14996795556505021"/>
      </right>
      <top/>
      <bottom style="thin">
        <color theme="0" tint="-0.14993743705557422"/>
      </bottom>
      <diagonal/>
    </border>
    <border>
      <left style="thick">
        <color theme="0"/>
      </left>
      <right/>
      <top/>
      <bottom/>
      <diagonal/>
    </border>
    <border>
      <left style="thick">
        <color theme="0"/>
      </left>
      <right/>
      <top/>
      <bottom style="medium">
        <color indexed="64"/>
      </bottom>
      <diagonal/>
    </border>
    <border>
      <left style="thick">
        <color theme="0"/>
      </left>
      <right/>
      <top style="thin">
        <color theme="0" tint="-0.14993743705557422"/>
      </top>
      <bottom style="thin">
        <color theme="0" tint="-0.14996795556505021"/>
      </bottom>
      <diagonal/>
    </border>
    <border>
      <left/>
      <right/>
      <top style="thin">
        <color theme="0" tint="-0.14993743705557422"/>
      </top>
      <bottom style="thin">
        <color theme="0" tint="-0.14996795556505021"/>
      </bottom>
      <diagonal/>
    </border>
    <border>
      <left/>
      <right style="thin">
        <color theme="0" tint="-0.14996795556505021"/>
      </right>
      <top style="thin">
        <color theme="0" tint="-0.14993743705557422"/>
      </top>
      <bottom style="thin">
        <color theme="0" tint="-0.14996795556505021"/>
      </bottom>
      <diagonal/>
    </border>
    <border>
      <left style="thin">
        <color theme="0" tint="-0.14996795556505021"/>
      </left>
      <right style="medium">
        <color theme="1"/>
      </right>
      <top style="thin">
        <color theme="0" tint="-0.14996795556505021"/>
      </top>
      <bottom style="thin">
        <color theme="0" tint="-0.1499679555650502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theme="0" tint="-0.14993743705557422"/>
      </bottom>
      <diagonal/>
    </border>
    <border>
      <left/>
      <right style="thin">
        <color indexed="64"/>
      </right>
      <top/>
      <bottom style="thin">
        <color theme="0" tint="-0.14993743705557422"/>
      </bottom>
      <diagonal/>
    </border>
    <border>
      <left style="thin">
        <color indexed="64"/>
      </left>
      <right style="thin">
        <color theme="0" tint="-0.14996795556505021"/>
      </right>
      <top style="thin">
        <color theme="0" tint="-0.14993743705557422"/>
      </top>
      <bottom style="thin">
        <color theme="0" tint="-0.14996795556505021"/>
      </bottom>
      <diagonal/>
    </border>
    <border>
      <left style="thin">
        <color theme="0" tint="-0.14996795556505021"/>
      </left>
      <right style="thin">
        <color indexed="64"/>
      </right>
      <top/>
      <bottom style="thin">
        <color theme="0" tint="-0.1499679555650502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theme="0" tint="-0.14996795556505021"/>
      </left>
      <right style="thin">
        <color indexed="64"/>
      </right>
      <top style="thin">
        <color theme="0" tint="-0.14996795556505021"/>
      </top>
      <bottom style="thin">
        <color theme="0" tint="-0.14996795556505021"/>
      </bottom>
      <diagonal/>
    </border>
    <border>
      <left style="thin">
        <color indexed="64"/>
      </left>
      <right style="thin">
        <color theme="0" tint="-0.14996795556505021"/>
      </right>
      <top/>
      <bottom style="thin">
        <color theme="0" tint="-0.14996795556505021"/>
      </bottom>
      <diagonal/>
    </border>
    <border>
      <left style="thin">
        <color theme="0" tint="-0.14996795556505021"/>
      </left>
      <right style="thin">
        <color indexed="64"/>
      </right>
      <top style="thin">
        <color theme="0" tint="-0.14996795556505021"/>
      </top>
      <bottom style="thin">
        <color indexed="64"/>
      </bottom>
      <diagonal/>
    </border>
    <border>
      <left style="medium">
        <color indexed="64"/>
      </left>
      <right style="medium">
        <color indexed="64"/>
      </right>
      <top style="medium">
        <color indexed="64"/>
      </top>
      <bottom/>
      <diagonal/>
    </border>
    <border>
      <left style="thick">
        <color theme="0"/>
      </left>
      <right/>
      <top style="medium">
        <color indexed="64"/>
      </top>
      <bottom style="medium">
        <color theme="0" tint="-0.34998626667073579"/>
      </bottom>
      <diagonal/>
    </border>
    <border>
      <left style="thin">
        <color theme="0" tint="-0.14996795556505021"/>
      </left>
      <right style="medium">
        <color theme="1"/>
      </right>
      <top style="thin">
        <color theme="0" tint="-0.14996795556505021"/>
      </top>
      <bottom style="thick">
        <color rgb="FF006600"/>
      </bottom>
      <diagonal/>
    </border>
    <border>
      <left style="thin">
        <color theme="0" tint="-0.14996795556505021"/>
      </left>
      <right style="medium">
        <color theme="1"/>
      </right>
      <top/>
      <bottom style="thin">
        <color theme="0" tint="-0.14996795556505021"/>
      </bottom>
      <diagonal/>
    </border>
    <border>
      <left style="thin">
        <color indexed="64"/>
      </left>
      <right style="thin">
        <color theme="0" tint="-0.14996795556505021"/>
      </right>
      <top style="thin">
        <color theme="0" tint="-0.14996795556505021"/>
      </top>
      <bottom style="thin">
        <color indexed="64"/>
      </bottom>
      <diagonal/>
    </border>
    <border>
      <left style="thin">
        <color theme="0" tint="-0.14996795556505021"/>
      </left>
      <right/>
      <top style="thin">
        <color theme="0" tint="-0.14993743705557422"/>
      </top>
      <bottom style="thin">
        <color theme="0" tint="-0.14993743705557422"/>
      </bottom>
      <diagonal/>
    </border>
    <border>
      <left/>
      <right style="thin">
        <color theme="0" tint="-0.14993743705557422"/>
      </right>
      <top/>
      <bottom style="thin">
        <color theme="0" tint="-0.14993743705557422"/>
      </bottom>
      <diagonal/>
    </border>
    <border>
      <left/>
      <right style="thin">
        <color theme="0" tint="-0.14996795556505021"/>
      </right>
      <top/>
      <bottom style="thin">
        <color theme="0" tint="-0.14993743705557422"/>
      </bottom>
      <diagonal/>
    </border>
    <border>
      <left/>
      <right style="thin">
        <color theme="0" tint="-0.14996795556505021"/>
      </right>
      <top style="thin">
        <color theme="0" tint="-0.14993743705557422"/>
      </top>
      <bottom style="thin">
        <color theme="0" tint="-0.14993743705557422"/>
      </bottom>
      <diagonal/>
    </border>
    <border>
      <left/>
      <right style="thin">
        <color theme="0" tint="-0.14996795556505021"/>
      </right>
      <top style="thin">
        <color theme="0" tint="-0.14993743705557422"/>
      </top>
      <bottom style="thin">
        <color indexed="64"/>
      </bottom>
      <diagonal/>
    </border>
    <border>
      <left style="thin">
        <color theme="0" tint="-0.14996795556505021"/>
      </left>
      <right style="thick">
        <color theme="0" tint="-0.14993743705557422"/>
      </right>
      <top/>
      <bottom style="medium">
        <color indexed="64"/>
      </bottom>
      <diagonal/>
    </border>
    <border>
      <left style="thin">
        <color theme="0" tint="-0.14996795556505021"/>
      </left>
      <right style="thick">
        <color theme="0" tint="-0.14993743705557422"/>
      </right>
      <top/>
      <bottom style="thin">
        <color theme="0" tint="-0.14993743705557422"/>
      </bottom>
      <diagonal/>
    </border>
    <border>
      <left style="thin">
        <color theme="0" tint="-0.14996795556505021"/>
      </left>
      <right style="thick">
        <color theme="0" tint="-0.14993743705557422"/>
      </right>
      <top style="thin">
        <color theme="0" tint="-0.14993743705557422"/>
      </top>
      <bottom style="thin">
        <color theme="0" tint="-0.14993743705557422"/>
      </bottom>
      <diagonal/>
    </border>
    <border>
      <left style="thin">
        <color theme="0" tint="-0.14996795556505021"/>
      </left>
      <right style="thick">
        <color theme="0" tint="-0.14993743705557422"/>
      </right>
      <top style="thin">
        <color theme="0" tint="-0.14993743705557422"/>
      </top>
      <bottom style="thin">
        <color indexed="64"/>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indexed="64"/>
      </bottom>
      <diagonal/>
    </border>
    <border>
      <left style="thick">
        <color theme="0" tint="-0.14996795556505021"/>
      </left>
      <right style="thin">
        <color theme="0" tint="-0.14996795556505021"/>
      </right>
      <top/>
      <bottom style="thin">
        <color theme="0" tint="-0.14996795556505021"/>
      </bottom>
      <diagonal/>
    </border>
    <border>
      <left style="thick">
        <color theme="0" tint="-0.14996795556505021"/>
      </left>
      <right style="thin">
        <color theme="0" tint="-0.14996795556505021"/>
      </right>
      <top style="thin">
        <color theme="0" tint="-0.14996795556505021"/>
      </top>
      <bottom style="thin">
        <color theme="0" tint="-0.14996795556505021"/>
      </bottom>
      <diagonal/>
    </border>
    <border>
      <left style="thick">
        <color theme="0" tint="-0.14996795556505021"/>
      </left>
      <right style="thin">
        <color theme="0" tint="-0.14996795556505021"/>
      </right>
      <top style="thin">
        <color theme="0" tint="-0.14996795556505021"/>
      </top>
      <bottom style="thin">
        <color indexed="64"/>
      </bottom>
      <diagonal/>
    </border>
    <border>
      <left style="thick">
        <color theme="0" tint="-0.14996795556505021"/>
      </left>
      <right style="thin">
        <color theme="0" tint="-0.14996795556505021"/>
      </right>
      <top/>
      <bottom style="medium">
        <color indexed="64"/>
      </bottom>
      <diagonal/>
    </border>
    <border>
      <left/>
      <right/>
      <top/>
      <bottom style="thick">
        <color rgb="FF006600"/>
      </bottom>
      <diagonal/>
    </border>
    <border>
      <left/>
      <right style="thick">
        <color theme="0" tint="-0.14996795556505021"/>
      </right>
      <top/>
      <bottom/>
      <diagonal/>
    </border>
    <border>
      <left/>
      <right style="thick">
        <color rgb="FF006600"/>
      </right>
      <top style="medium">
        <color indexed="64"/>
      </top>
      <bottom/>
      <diagonal/>
    </border>
    <border>
      <left style="thin">
        <color theme="0" tint="-0.14996795556505021"/>
      </left>
      <right style="thick">
        <color rgb="FF006600"/>
      </right>
      <top style="thin">
        <color theme="0" tint="-0.14996795556505021"/>
      </top>
      <bottom style="thin">
        <color indexed="64"/>
      </bottom>
      <diagonal/>
    </border>
    <border>
      <left style="thin">
        <color theme="0" tint="-0.14996795556505021"/>
      </left>
      <right style="thick">
        <color rgb="FF006600"/>
      </right>
      <top/>
      <bottom style="medium">
        <color indexed="64"/>
      </bottom>
      <diagonal/>
    </border>
    <border>
      <left style="thin">
        <color theme="0" tint="-0.14996795556505021"/>
      </left>
      <right/>
      <top style="thin">
        <color theme="0" tint="-0.14993743705557422"/>
      </top>
      <bottom style="thin">
        <color theme="0" tint="-0.14996795556505021"/>
      </bottom>
      <diagonal/>
    </border>
    <border>
      <left style="thick">
        <color rgb="FF006600"/>
      </left>
      <right/>
      <top/>
      <bottom/>
      <diagonal/>
    </border>
    <border>
      <left style="thick">
        <color rgb="FF006600"/>
      </left>
      <right style="thin">
        <color theme="0" tint="-0.14996795556505021"/>
      </right>
      <top style="thin">
        <color theme="0" tint="-0.14996795556505021"/>
      </top>
      <bottom style="thin">
        <color theme="0" tint="-0.14996795556505021"/>
      </bottom>
      <diagonal/>
    </border>
    <border>
      <left style="thick">
        <color rgb="FF006600"/>
      </left>
      <right style="thin">
        <color theme="0" tint="-0.14993743705557422"/>
      </right>
      <top style="thin">
        <color theme="0" tint="-0.14993743705557422"/>
      </top>
      <bottom style="thin">
        <color theme="0" tint="-0.14993743705557422"/>
      </bottom>
      <diagonal/>
    </border>
    <border>
      <left style="thick">
        <color rgb="FF006600"/>
      </left>
      <right style="thin">
        <color theme="0" tint="-0.14996795556505021"/>
      </right>
      <top style="thin">
        <color theme="0" tint="-0.14993743705557422"/>
      </top>
      <bottom style="thin">
        <color theme="0" tint="-0.14996795556505021"/>
      </bottom>
      <diagonal/>
    </border>
    <border>
      <left style="thick">
        <color rgb="FF006600"/>
      </left>
      <right style="thin">
        <color theme="0" tint="-0.14996795556505021"/>
      </right>
      <top style="thin">
        <color theme="0" tint="-0.14996795556505021"/>
      </top>
      <bottom style="thin">
        <color indexed="64"/>
      </bottom>
      <diagonal/>
    </border>
    <border>
      <left style="thick">
        <color rgb="FF006600"/>
      </left>
      <right style="thin">
        <color theme="0" tint="-0.14996795556505021"/>
      </right>
      <top/>
      <bottom style="medium">
        <color indexed="64"/>
      </bottom>
      <diagonal/>
    </border>
    <border>
      <left/>
      <right style="thick">
        <color rgb="FF006600"/>
      </right>
      <top style="thin">
        <color theme="0"/>
      </top>
      <bottom/>
      <diagonal/>
    </border>
    <border>
      <left/>
      <right style="thick">
        <color rgb="FF006600"/>
      </right>
      <top/>
      <bottom style="thin">
        <color theme="0" tint="-0.14996795556505021"/>
      </bottom>
      <diagonal/>
    </border>
    <border>
      <left style="thin">
        <color theme="0" tint="-0.14996795556505021"/>
      </left>
      <right style="medium">
        <color auto="1"/>
      </right>
      <top style="thin">
        <color theme="0" tint="-0.14996795556505021"/>
      </top>
      <bottom style="thin">
        <color theme="0" tint="-0.14993743705557422"/>
      </bottom>
      <diagonal/>
    </border>
    <border>
      <left style="thin">
        <color theme="0" tint="-0.14996795556505021"/>
      </left>
      <right/>
      <top style="thin">
        <color indexed="64"/>
      </top>
      <bottom style="thin">
        <color theme="0" tint="-0.14996795556505021"/>
      </bottom>
      <diagonal/>
    </border>
    <border>
      <left/>
      <right style="thin">
        <color theme="0" tint="-0.14996795556505021"/>
      </right>
      <top style="thin">
        <color indexed="64"/>
      </top>
      <bottom style="thin">
        <color theme="0" tint="-0.14996795556505021"/>
      </bottom>
      <diagonal/>
    </border>
    <border>
      <left style="thin">
        <color theme="0" tint="-0.14996795556505021"/>
      </left>
      <right style="thick">
        <color theme="0" tint="-0.14993743705557422"/>
      </right>
      <top style="thin">
        <color theme="0" tint="-0.14996795556505021"/>
      </top>
      <bottom style="thin">
        <color indexed="64"/>
      </bottom>
      <diagonal/>
    </border>
    <border>
      <left style="thin">
        <color theme="0" tint="-0.14996795556505021"/>
      </left>
      <right style="thick">
        <color theme="0" tint="-0.14993743705557422"/>
      </right>
      <top/>
      <bottom style="thin">
        <color theme="0" tint="-0.14996795556505021"/>
      </bottom>
      <diagonal/>
    </border>
    <border>
      <left style="thin">
        <color theme="0" tint="-0.14996795556505021"/>
      </left>
      <right style="thick">
        <color rgb="FF006600"/>
      </right>
      <top/>
      <bottom style="thin">
        <color theme="0" tint="-0.14993743705557422"/>
      </bottom>
      <diagonal/>
    </border>
    <border>
      <left style="thin">
        <color theme="0" tint="-0.14996795556505021"/>
      </left>
      <right style="thick">
        <color rgb="FF006600"/>
      </right>
      <top style="thin">
        <color theme="0" tint="-0.14993743705557422"/>
      </top>
      <bottom style="thin">
        <color theme="0" tint="-0.14993743705557422"/>
      </bottom>
      <diagonal/>
    </border>
    <border>
      <left/>
      <right style="thin">
        <color theme="0" tint="-0.14996795556505021"/>
      </right>
      <top/>
      <bottom/>
      <diagonal/>
    </border>
    <border>
      <left style="double">
        <color theme="0"/>
      </left>
      <right style="double">
        <color theme="0"/>
      </right>
      <top/>
      <bottom/>
      <diagonal/>
    </border>
    <border>
      <left/>
      <right/>
      <top style="medium">
        <color indexed="64"/>
      </top>
      <bottom style="medium">
        <color theme="0" tint="-0.14996795556505021"/>
      </bottom>
      <diagonal/>
    </border>
    <border>
      <left/>
      <right style="medium">
        <color theme="0" tint="-0.14996795556505021"/>
      </right>
      <top style="medium">
        <color indexed="64"/>
      </top>
      <bottom style="medium">
        <color theme="0" tint="-0.14996795556505021"/>
      </bottom>
      <diagonal/>
    </border>
    <border>
      <left/>
      <right/>
      <top style="medium">
        <color theme="0" tint="-0.14996795556505021"/>
      </top>
      <bottom style="medium">
        <color theme="0" tint="-0.14996795556505021"/>
      </bottom>
      <diagonal/>
    </border>
    <border>
      <left/>
      <right style="medium">
        <color theme="0" tint="-0.14996795556505021"/>
      </right>
      <top style="medium">
        <color theme="0" tint="-0.14996795556505021"/>
      </top>
      <bottom style="medium">
        <color theme="0" tint="-0.14996795556505021"/>
      </bottom>
      <diagonal/>
    </border>
    <border>
      <left/>
      <right/>
      <top style="medium">
        <color theme="0" tint="-0.14996795556505021"/>
      </top>
      <bottom style="medium">
        <color indexed="64"/>
      </bottom>
      <diagonal/>
    </border>
    <border>
      <left/>
      <right style="medium">
        <color theme="0" tint="-0.14996795556505021"/>
      </right>
      <top style="medium">
        <color theme="0" tint="-0.14996795556505021"/>
      </top>
      <bottom style="medium">
        <color indexed="64"/>
      </bottom>
      <diagonal/>
    </border>
    <border>
      <left style="medium">
        <color theme="0" tint="-0.14996795556505021"/>
      </left>
      <right/>
      <top style="medium">
        <color indexed="64"/>
      </top>
      <bottom style="medium">
        <color theme="0" tint="-0.14996795556505021"/>
      </bottom>
      <diagonal/>
    </border>
    <border>
      <left/>
      <right style="medium">
        <color indexed="64"/>
      </right>
      <top style="medium">
        <color indexed="64"/>
      </top>
      <bottom style="medium">
        <color theme="0" tint="-0.14996795556505021"/>
      </bottom>
      <diagonal/>
    </border>
    <border>
      <left style="medium">
        <color theme="0" tint="-0.14996795556505021"/>
      </left>
      <right/>
      <top style="medium">
        <color theme="0" tint="-0.14996795556505021"/>
      </top>
      <bottom style="medium">
        <color theme="0" tint="-0.14996795556505021"/>
      </bottom>
      <diagonal/>
    </border>
    <border>
      <left/>
      <right style="medium">
        <color indexed="64"/>
      </right>
      <top style="medium">
        <color theme="0" tint="-0.14996795556505021"/>
      </top>
      <bottom style="medium">
        <color theme="0" tint="-0.14996795556505021"/>
      </bottom>
      <diagonal/>
    </border>
    <border>
      <left style="medium">
        <color theme="0" tint="-0.14996795556505021"/>
      </left>
      <right/>
      <top style="medium">
        <color theme="0" tint="-0.14996795556505021"/>
      </top>
      <bottom style="medium">
        <color indexed="64"/>
      </bottom>
      <diagonal/>
    </border>
    <border>
      <left/>
      <right style="medium">
        <color indexed="64"/>
      </right>
      <top style="medium">
        <color theme="0" tint="-0.14996795556505021"/>
      </top>
      <bottom style="medium">
        <color indexed="64"/>
      </bottom>
      <diagonal/>
    </border>
    <border>
      <left style="thin">
        <color theme="0" tint="-0.14996795556505021"/>
      </left>
      <right/>
      <top style="medium">
        <color indexed="64"/>
      </top>
      <bottom style="thin">
        <color theme="0" tint="-0.14996795556505021"/>
      </bottom>
      <diagonal/>
    </border>
    <border>
      <left/>
      <right style="medium">
        <color indexed="64"/>
      </right>
      <top style="medium">
        <color indexed="64"/>
      </top>
      <bottom style="thin">
        <color theme="0" tint="-0.14996795556505021"/>
      </bottom>
      <diagonal/>
    </border>
    <border>
      <left/>
      <right style="medium">
        <color indexed="64"/>
      </right>
      <top style="thin">
        <color theme="0" tint="-0.14996795556505021"/>
      </top>
      <bottom style="thin">
        <color theme="0" tint="-0.14996795556505021"/>
      </bottom>
      <diagonal/>
    </border>
    <border>
      <left style="thin">
        <color theme="0" tint="-0.14996795556505021"/>
      </left>
      <right/>
      <top style="thin">
        <color theme="0" tint="-0.14996795556505021"/>
      </top>
      <bottom style="medium">
        <color indexed="64"/>
      </bottom>
      <diagonal/>
    </border>
    <border>
      <left/>
      <right style="medium">
        <color indexed="64"/>
      </right>
      <top style="thin">
        <color theme="0" tint="-0.14996795556505021"/>
      </top>
      <bottom style="medium">
        <color indexed="64"/>
      </bottom>
      <diagonal/>
    </border>
    <border>
      <left style="thick">
        <color theme="0"/>
      </left>
      <right/>
      <top style="medium">
        <color indexed="64"/>
      </top>
      <bottom style="medium">
        <color theme="0" tint="-0.14996795556505021"/>
      </bottom>
      <diagonal/>
    </border>
    <border>
      <left style="thick">
        <color theme="0"/>
      </left>
      <right/>
      <top style="medium">
        <color theme="0" tint="-0.14996795556505021"/>
      </top>
      <bottom style="medium">
        <color theme="0" tint="-0.14996795556505021"/>
      </bottom>
      <diagonal/>
    </border>
    <border>
      <left style="thick">
        <color theme="0"/>
      </left>
      <right/>
      <top style="medium">
        <color theme="0" tint="-0.14996795556505021"/>
      </top>
      <bottom style="medium">
        <color indexed="64"/>
      </bottom>
      <diagonal/>
    </border>
    <border>
      <left style="double">
        <color theme="0"/>
      </left>
      <right/>
      <top style="medium">
        <color indexed="64"/>
      </top>
      <bottom/>
      <diagonal/>
    </border>
  </borders>
  <cellStyleXfs count="4">
    <xf numFmtId="0" fontId="0" fillId="0" borderId="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cellStyleXfs>
  <cellXfs count="471">
    <xf numFmtId="0" fontId="0" fillId="0" borderId="0" xfId="0"/>
    <xf numFmtId="9" fontId="5" fillId="3" borderId="3" xfId="0" applyNumberFormat="1" applyFont="1" applyFill="1" applyBorder="1" applyAlignment="1">
      <alignment vertical="center"/>
    </xf>
    <xf numFmtId="0" fontId="8" fillId="0" borderId="0" xfId="0" applyFont="1" applyAlignment="1">
      <alignment vertical="center"/>
    </xf>
    <xf numFmtId="0" fontId="8" fillId="0" borderId="1" xfId="0" applyFont="1" applyBorder="1" applyAlignment="1">
      <alignment vertical="center"/>
    </xf>
    <xf numFmtId="44" fontId="8" fillId="3" borderId="0" xfId="1" applyFont="1" applyFill="1" applyBorder="1" applyAlignment="1">
      <alignment vertical="center"/>
    </xf>
    <xf numFmtId="0" fontId="11" fillId="3" borderId="0" xfId="0" applyFont="1" applyFill="1" applyAlignment="1">
      <alignment horizontal="center" vertical="center"/>
    </xf>
    <xf numFmtId="44" fontId="14" fillId="3" borderId="0" xfId="1" applyFont="1" applyFill="1" applyBorder="1" applyAlignment="1">
      <alignment horizontal="center" vertical="center"/>
    </xf>
    <xf numFmtId="0" fontId="14" fillId="3" borderId="0" xfId="0" applyFont="1" applyFill="1" applyAlignment="1">
      <alignment horizontal="center" vertical="center"/>
    </xf>
    <xf numFmtId="0" fontId="19" fillId="3" borderId="2" xfId="0" applyFont="1" applyFill="1" applyBorder="1" applyAlignment="1">
      <alignment horizontal="center" vertical="center"/>
    </xf>
    <xf numFmtId="42" fontId="8" fillId="0" borderId="8" xfId="0" applyNumberFormat="1" applyFont="1" applyBorder="1" applyAlignment="1">
      <alignment vertical="center"/>
    </xf>
    <xf numFmtId="0" fontId="18" fillId="0" borderId="0" xfId="0" applyFont="1" applyAlignment="1">
      <alignment horizontal="center" vertical="center"/>
    </xf>
    <xf numFmtId="0" fontId="20" fillId="0" borderId="0" xfId="0" applyFont="1" applyAlignment="1">
      <alignment horizontal="right" vertical="center"/>
    </xf>
    <xf numFmtId="164" fontId="20" fillId="0" borderId="0" xfId="0" applyNumberFormat="1" applyFont="1" applyAlignment="1">
      <alignment horizontal="left" vertical="center" indent="1"/>
    </xf>
    <xf numFmtId="164" fontId="8" fillId="0" borderId="0" xfId="0" applyNumberFormat="1" applyFont="1" applyAlignment="1">
      <alignment horizontal="center" vertical="center"/>
    </xf>
    <xf numFmtId="0" fontId="13" fillId="0" borderId="0" xfId="0" applyFont="1" applyAlignment="1">
      <alignment horizontal="center" vertical="center"/>
    </xf>
    <xf numFmtId="1" fontId="8" fillId="0" borderId="0" xfId="0" applyNumberFormat="1" applyFont="1" applyAlignment="1">
      <alignment horizontal="center" vertical="center"/>
    </xf>
    <xf numFmtId="0" fontId="8" fillId="0" borderId="7" xfId="0" applyFont="1" applyBorder="1" applyAlignment="1">
      <alignment vertical="center"/>
    </xf>
    <xf numFmtId="9" fontId="5" fillId="3" borderId="0" xfId="0" applyNumberFormat="1" applyFont="1" applyFill="1" applyAlignment="1">
      <alignment vertical="center"/>
    </xf>
    <xf numFmtId="9" fontId="5" fillId="3" borderId="1" xfId="0" applyNumberFormat="1" applyFont="1" applyFill="1" applyBorder="1" applyAlignment="1">
      <alignment vertical="center"/>
    </xf>
    <xf numFmtId="0" fontId="8" fillId="0" borderId="15" xfId="0" applyFont="1" applyBorder="1" applyAlignment="1">
      <alignment vertical="center"/>
    </xf>
    <xf numFmtId="0" fontId="8" fillId="0" borderId="16" xfId="0" applyFont="1" applyBorder="1" applyAlignment="1">
      <alignment vertical="center"/>
    </xf>
    <xf numFmtId="164" fontId="8" fillId="5" borderId="18" xfId="0" applyNumberFormat="1" applyFont="1" applyFill="1" applyBorder="1" applyAlignment="1">
      <alignment vertical="center"/>
    </xf>
    <xf numFmtId="0" fontId="8" fillId="0" borderId="13" xfId="0" applyFont="1" applyBorder="1" applyAlignment="1">
      <alignment vertical="center"/>
    </xf>
    <xf numFmtId="0" fontId="8" fillId="0" borderId="13" xfId="0" applyFont="1" applyBorder="1" applyAlignment="1">
      <alignment horizontal="center" vertical="center"/>
    </xf>
    <xf numFmtId="0" fontId="8" fillId="0" borderId="8" xfId="0" applyFont="1" applyBorder="1" applyAlignment="1">
      <alignment vertical="center"/>
    </xf>
    <xf numFmtId="9" fontId="5" fillId="3" borderId="0" xfId="0" applyNumberFormat="1" applyFont="1" applyFill="1" applyAlignment="1">
      <alignment horizontal="center" vertical="center"/>
    </xf>
    <xf numFmtId="9" fontId="5" fillId="3" borderId="1" xfId="0" applyNumberFormat="1" applyFont="1" applyFill="1" applyBorder="1" applyAlignment="1">
      <alignment horizontal="center" vertical="center"/>
    </xf>
    <xf numFmtId="0" fontId="26" fillId="2" borderId="13" xfId="0" applyFont="1" applyFill="1" applyBorder="1" applyAlignment="1">
      <alignment horizontal="center" vertical="center"/>
    </xf>
    <xf numFmtId="0" fontId="26" fillId="2" borderId="18" xfId="0" applyFont="1" applyFill="1" applyBorder="1" applyAlignment="1">
      <alignment horizontal="center" vertical="center"/>
    </xf>
    <xf numFmtId="42" fontId="8" fillId="0" borderId="16" xfId="0" applyNumberFormat="1" applyFont="1" applyBorder="1" applyAlignment="1">
      <alignment vertical="center"/>
    </xf>
    <xf numFmtId="0" fontId="4" fillId="0" borderId="0" xfId="0" applyFont="1" applyAlignment="1">
      <alignment horizontal="center" vertical="center"/>
    </xf>
    <xf numFmtId="0" fontId="8" fillId="0" borderId="0" xfId="0" applyFont="1" applyAlignment="1">
      <alignment horizontal="left" vertical="center" indent="1"/>
    </xf>
    <xf numFmtId="42" fontId="8" fillId="0" borderId="0" xfId="0" applyNumberFormat="1" applyFont="1" applyAlignment="1">
      <alignment vertical="center"/>
    </xf>
    <xf numFmtId="0" fontId="4" fillId="0" borderId="0" xfId="0" applyFont="1" applyAlignment="1">
      <alignment vertical="center"/>
    </xf>
    <xf numFmtId="9" fontId="14" fillId="3" borderId="0" xfId="0" applyNumberFormat="1" applyFont="1" applyFill="1" applyAlignment="1">
      <alignment horizontal="center" vertical="center"/>
    </xf>
    <xf numFmtId="42" fontId="8" fillId="0" borderId="15" xfId="0" applyNumberFormat="1" applyFont="1" applyBorder="1" applyAlignment="1">
      <alignment vertical="center"/>
    </xf>
    <xf numFmtId="42" fontId="8" fillId="0" borderId="18" xfId="0" applyNumberFormat="1" applyFont="1" applyBorder="1" applyAlignment="1">
      <alignment vertical="center"/>
    </xf>
    <xf numFmtId="42" fontId="8" fillId="0" borderId="9" xfId="0" applyNumberFormat="1" applyFont="1" applyBorder="1" applyAlignment="1">
      <alignment vertical="center"/>
    </xf>
    <xf numFmtId="9" fontId="9" fillId="3" borderId="0" xfId="0" applyNumberFormat="1" applyFont="1" applyFill="1" applyAlignment="1">
      <alignment horizontal="center" vertical="center"/>
    </xf>
    <xf numFmtId="42" fontId="29" fillId="0" borderId="18" xfId="0" applyNumberFormat="1" applyFont="1" applyBorder="1" applyAlignment="1">
      <alignment vertical="center"/>
    </xf>
    <xf numFmtId="42" fontId="29" fillId="0" borderId="8" xfId="0" applyNumberFormat="1" applyFont="1" applyBorder="1" applyAlignment="1">
      <alignment vertical="center"/>
    </xf>
    <xf numFmtId="42" fontId="29" fillId="0" borderId="9" xfId="0" applyNumberFormat="1" applyFont="1" applyBorder="1" applyAlignment="1">
      <alignment vertical="center"/>
    </xf>
    <xf numFmtId="42" fontId="30" fillId="0" borderId="8" xfId="0" applyNumberFormat="1" applyFont="1" applyBorder="1" applyAlignment="1">
      <alignment vertical="center"/>
    </xf>
    <xf numFmtId="42" fontId="30" fillId="0" borderId="9" xfId="0" applyNumberFormat="1" applyFont="1" applyBorder="1" applyAlignment="1">
      <alignment vertical="center"/>
    </xf>
    <xf numFmtId="0" fontId="14" fillId="3" borderId="2" xfId="0" applyFont="1" applyFill="1" applyBorder="1" applyAlignment="1">
      <alignment horizontal="center" vertical="center"/>
    </xf>
    <xf numFmtId="9" fontId="5" fillId="3" borderId="0" xfId="0" applyNumberFormat="1" applyFont="1" applyFill="1" applyAlignment="1">
      <alignment horizontal="left" vertical="center" indent="2"/>
    </xf>
    <xf numFmtId="42" fontId="13" fillId="0" borderId="25" xfId="1" applyNumberFormat="1" applyFont="1" applyBorder="1" applyAlignment="1">
      <alignment vertical="center"/>
    </xf>
    <xf numFmtId="42" fontId="17" fillId="0" borderId="26" xfId="1" applyNumberFormat="1" applyFont="1" applyFill="1" applyBorder="1" applyAlignment="1">
      <alignment vertical="center"/>
    </xf>
    <xf numFmtId="164" fontId="8" fillId="0" borderId="26" xfId="0" applyNumberFormat="1" applyFont="1" applyBorder="1" applyAlignment="1">
      <alignment horizontal="center" vertical="center"/>
    </xf>
    <xf numFmtId="0" fontId="8" fillId="0" borderId="26" xfId="0" applyFont="1" applyBorder="1" applyAlignment="1">
      <alignment vertical="center"/>
    </xf>
    <xf numFmtId="0" fontId="8" fillId="2" borderId="26" xfId="0" applyFont="1" applyFill="1" applyBorder="1" applyAlignment="1">
      <alignment vertical="center"/>
    </xf>
    <xf numFmtId="42" fontId="13" fillId="0" borderId="0" xfId="0" applyNumberFormat="1" applyFont="1" applyAlignment="1">
      <alignment vertical="center"/>
    </xf>
    <xf numFmtId="164" fontId="12" fillId="0" borderId="20" xfId="0" applyNumberFormat="1" applyFont="1" applyBorder="1" applyAlignment="1">
      <alignment horizontal="center" vertical="center"/>
    </xf>
    <xf numFmtId="42" fontId="8" fillId="0" borderId="31" xfId="1" applyNumberFormat="1" applyFont="1" applyFill="1" applyBorder="1" applyAlignment="1">
      <alignment vertical="center"/>
    </xf>
    <xf numFmtId="42" fontId="8" fillId="0" borderId="24" xfId="1" applyNumberFormat="1" applyFont="1" applyFill="1" applyBorder="1" applyAlignment="1">
      <alignment vertical="center"/>
    </xf>
    <xf numFmtId="0" fontId="25" fillId="7" borderId="0" xfId="0" applyFont="1" applyFill="1" applyAlignment="1">
      <alignment horizontal="center" vertical="center"/>
    </xf>
    <xf numFmtId="0" fontId="25" fillId="7" borderId="1" xfId="0" applyFont="1" applyFill="1" applyBorder="1" applyAlignment="1">
      <alignment horizontal="center" vertical="center"/>
    </xf>
    <xf numFmtId="0" fontId="25" fillId="7" borderId="3" xfId="0" applyFont="1" applyFill="1" applyBorder="1" applyAlignment="1">
      <alignment horizontal="center" vertical="center"/>
    </xf>
    <xf numFmtId="167" fontId="13" fillId="5" borderId="12" xfId="0" applyNumberFormat="1" applyFont="1" applyFill="1" applyBorder="1" applyAlignment="1">
      <alignment vertical="center"/>
    </xf>
    <xf numFmtId="6" fontId="15" fillId="0" borderId="18" xfId="0" applyNumberFormat="1" applyFont="1" applyBorder="1" applyAlignment="1">
      <alignment vertical="center"/>
    </xf>
    <xf numFmtId="0" fontId="9" fillId="2" borderId="0" xfId="0" applyFont="1" applyFill="1" applyAlignment="1">
      <alignment vertical="center"/>
    </xf>
    <xf numFmtId="9" fontId="9" fillId="0" borderId="0" xfId="0" applyNumberFormat="1" applyFont="1" applyAlignment="1">
      <alignment horizontal="center" vertical="center"/>
    </xf>
    <xf numFmtId="9" fontId="5" fillId="3" borderId="3" xfId="0" applyNumberFormat="1" applyFont="1" applyFill="1" applyBorder="1" applyAlignment="1">
      <alignment horizontal="left" vertical="center" indent="2"/>
    </xf>
    <xf numFmtId="9" fontId="9" fillId="0" borderId="7" xfId="0" applyNumberFormat="1" applyFont="1" applyBorder="1" applyAlignment="1">
      <alignment horizontal="center" vertical="center"/>
    </xf>
    <xf numFmtId="42" fontId="13" fillId="8" borderId="26" xfId="0" applyNumberFormat="1" applyFont="1" applyFill="1" applyBorder="1" applyAlignment="1">
      <alignment vertical="center"/>
    </xf>
    <xf numFmtId="0" fontId="10" fillId="6" borderId="0" xfId="0" applyFont="1" applyFill="1" applyAlignment="1">
      <alignment horizontal="center" vertical="center" wrapText="1"/>
    </xf>
    <xf numFmtId="0" fontId="10" fillId="6" borderId="34" xfId="0" applyFont="1" applyFill="1" applyBorder="1" applyAlignment="1">
      <alignment horizontal="center" vertical="center" wrapText="1"/>
    </xf>
    <xf numFmtId="0" fontId="10" fillId="6" borderId="0" xfId="0" applyFont="1" applyFill="1" applyAlignment="1">
      <alignment horizontal="center" vertical="center" wrapText="1" readingOrder="1"/>
    </xf>
    <xf numFmtId="0" fontId="10" fillId="6" borderId="34" xfId="0" applyFont="1" applyFill="1" applyBorder="1" applyAlignment="1">
      <alignment horizontal="center" vertical="center" wrapText="1" readingOrder="1"/>
    </xf>
    <xf numFmtId="0" fontId="4" fillId="0" borderId="37" xfId="0" applyFont="1" applyBorder="1" applyAlignment="1">
      <alignment vertical="center"/>
    </xf>
    <xf numFmtId="9" fontId="5" fillId="3" borderId="4" xfId="0" applyNumberFormat="1" applyFont="1" applyFill="1" applyBorder="1" applyAlignment="1">
      <alignment vertical="center"/>
    </xf>
    <xf numFmtId="0" fontId="25" fillId="7" borderId="6" xfId="0" applyFont="1" applyFill="1" applyBorder="1" applyAlignment="1">
      <alignment horizontal="center" vertical="center"/>
    </xf>
    <xf numFmtId="0" fontId="13" fillId="5" borderId="2" xfId="0" applyFont="1" applyFill="1" applyBorder="1" applyAlignment="1">
      <alignment horizontal="right" vertical="center"/>
    </xf>
    <xf numFmtId="0" fontId="13" fillId="0" borderId="41" xfId="0" applyFont="1" applyBorder="1" applyAlignment="1">
      <alignment vertical="center"/>
    </xf>
    <xf numFmtId="0" fontId="10" fillId="6" borderId="34" xfId="0" applyFont="1" applyFill="1" applyBorder="1" applyAlignment="1">
      <alignment horizontal="center" vertical="center" readingOrder="1"/>
    </xf>
    <xf numFmtId="0" fontId="10" fillId="6" borderId="0" xfId="0" applyFont="1" applyFill="1" applyAlignment="1">
      <alignment horizontal="center" vertical="center"/>
    </xf>
    <xf numFmtId="0" fontId="10" fillId="6" borderId="34" xfId="0" applyFont="1" applyFill="1" applyBorder="1" applyAlignment="1">
      <alignment horizontal="center" vertical="center"/>
    </xf>
    <xf numFmtId="42" fontId="8" fillId="0" borderId="0" xfId="1" applyNumberFormat="1" applyFont="1" applyFill="1" applyBorder="1" applyAlignment="1">
      <alignment vertical="center"/>
    </xf>
    <xf numFmtId="9" fontId="5" fillId="3" borderId="7" xfId="0" applyNumberFormat="1" applyFont="1" applyFill="1" applyBorder="1" applyAlignment="1">
      <alignment horizontal="left" vertical="center" indent="2"/>
    </xf>
    <xf numFmtId="0" fontId="25" fillId="3" borderId="0" xfId="0" applyFont="1" applyFill="1" applyAlignment="1">
      <alignment horizontal="center" vertical="center"/>
    </xf>
    <xf numFmtId="0" fontId="19" fillId="3" borderId="6" xfId="0" applyFont="1" applyFill="1" applyBorder="1" applyAlignment="1">
      <alignment horizontal="center" vertical="center"/>
    </xf>
    <xf numFmtId="0" fontId="19" fillId="3" borderId="4" xfId="0" applyFont="1" applyFill="1" applyBorder="1" applyAlignment="1">
      <alignment horizontal="center" vertical="center"/>
    </xf>
    <xf numFmtId="164" fontId="8" fillId="5" borderId="13" xfId="0" applyNumberFormat="1" applyFont="1" applyFill="1" applyBorder="1" applyAlignment="1">
      <alignment vertical="center"/>
    </xf>
    <xf numFmtId="3" fontId="8" fillId="0" borderId="30" xfId="0" applyNumberFormat="1" applyFont="1" applyBorder="1" applyAlignment="1">
      <alignment horizontal="center" vertical="center"/>
    </xf>
    <xf numFmtId="164" fontId="8" fillId="0" borderId="16" xfId="2" applyNumberFormat="1" applyFont="1" applyFill="1" applyBorder="1" applyAlignment="1">
      <alignment horizontal="center" vertical="center"/>
    </xf>
    <xf numFmtId="37" fontId="13" fillId="0" borderId="30" xfId="3" applyNumberFormat="1" applyFont="1" applyFill="1" applyBorder="1" applyAlignment="1">
      <alignment horizontal="center" vertical="center" readingOrder="1"/>
    </xf>
    <xf numFmtId="165" fontId="8" fillId="5" borderId="8" xfId="0" applyNumberFormat="1" applyFont="1" applyFill="1" applyBorder="1" applyAlignment="1">
      <alignment horizontal="center" vertical="center"/>
    </xf>
    <xf numFmtId="37" fontId="8" fillId="0" borderId="8" xfId="3" applyNumberFormat="1" applyFont="1" applyFill="1" applyBorder="1" applyAlignment="1">
      <alignment horizontal="center" vertical="center" readingOrder="1"/>
    </xf>
    <xf numFmtId="3" fontId="8" fillId="0" borderId="8" xfId="0" applyNumberFormat="1" applyFont="1" applyBorder="1" applyAlignment="1">
      <alignment horizontal="center" vertical="center"/>
    </xf>
    <xf numFmtId="167" fontId="8" fillId="0" borderId="8" xfId="0" applyNumberFormat="1" applyFont="1" applyBorder="1" applyAlignment="1">
      <alignment vertical="center"/>
    </xf>
    <xf numFmtId="167" fontId="8" fillId="5" borderId="9" xfId="0" applyNumberFormat="1" applyFont="1" applyFill="1" applyBorder="1" applyAlignment="1">
      <alignment vertical="center"/>
    </xf>
    <xf numFmtId="165" fontId="8" fillId="5" borderId="10" xfId="0" applyNumberFormat="1" applyFont="1" applyFill="1" applyBorder="1" applyAlignment="1">
      <alignment horizontal="center" vertical="center"/>
    </xf>
    <xf numFmtId="37" fontId="8" fillId="0" borderId="10" xfId="3" applyNumberFormat="1" applyFont="1" applyFill="1" applyBorder="1" applyAlignment="1">
      <alignment horizontal="center" vertical="center" readingOrder="1"/>
    </xf>
    <xf numFmtId="3" fontId="8" fillId="0" borderId="10" xfId="0" applyNumberFormat="1" applyFont="1" applyBorder="1" applyAlignment="1">
      <alignment horizontal="center" vertical="center"/>
    </xf>
    <xf numFmtId="164" fontId="8" fillId="5" borderId="10" xfId="2" applyNumberFormat="1" applyFont="1" applyFill="1" applyBorder="1" applyAlignment="1">
      <alignment horizontal="center" vertical="center"/>
    </xf>
    <xf numFmtId="167" fontId="8" fillId="0" borderId="10" xfId="0" applyNumberFormat="1" applyFont="1" applyBorder="1" applyAlignment="1">
      <alignment vertical="center"/>
    </xf>
    <xf numFmtId="167" fontId="8" fillId="5" borderId="11" xfId="0" applyNumberFormat="1" applyFont="1" applyFill="1" applyBorder="1" applyAlignment="1">
      <alignment vertical="center"/>
    </xf>
    <xf numFmtId="165" fontId="8" fillId="5" borderId="16" xfId="0" applyNumberFormat="1" applyFont="1" applyFill="1" applyBorder="1" applyAlignment="1">
      <alignment horizontal="center" vertical="center"/>
    </xf>
    <xf numFmtId="37" fontId="8" fillId="0" borderId="16" xfId="3" applyNumberFormat="1" applyFont="1" applyFill="1" applyBorder="1" applyAlignment="1">
      <alignment horizontal="center" vertical="center" readingOrder="1"/>
    </xf>
    <xf numFmtId="164" fontId="8" fillId="5" borderId="16" xfId="2" applyNumberFormat="1" applyFont="1" applyFill="1" applyBorder="1" applyAlignment="1">
      <alignment horizontal="center" vertical="center"/>
    </xf>
    <xf numFmtId="3" fontId="8" fillId="0" borderId="16" xfId="0" applyNumberFormat="1" applyFont="1" applyBorder="1" applyAlignment="1">
      <alignment horizontal="center" vertical="center"/>
    </xf>
    <xf numFmtId="167" fontId="8" fillId="0" borderId="16" xfId="0" applyNumberFormat="1" applyFont="1" applyBorder="1" applyAlignment="1">
      <alignment vertical="center"/>
    </xf>
    <xf numFmtId="167" fontId="8" fillId="5" borderId="17" xfId="0" applyNumberFormat="1" applyFont="1" applyFill="1" applyBorder="1" applyAlignment="1">
      <alignment vertical="center"/>
    </xf>
    <xf numFmtId="167" fontId="8" fillId="0" borderId="49" xfId="0" applyNumberFormat="1" applyFont="1" applyBorder="1" applyAlignment="1">
      <alignment vertical="center"/>
    </xf>
    <xf numFmtId="0" fontId="10" fillId="6" borderId="7" xfId="0" applyFont="1" applyFill="1" applyBorder="1" applyAlignment="1">
      <alignment horizontal="center" vertical="center" wrapText="1"/>
    </xf>
    <xf numFmtId="0" fontId="23" fillId="0" borderId="0" xfId="0" applyFont="1" applyAlignment="1">
      <alignment vertical="center"/>
    </xf>
    <xf numFmtId="9" fontId="21" fillId="0" borderId="0" xfId="0" applyNumberFormat="1" applyFont="1" applyAlignment="1">
      <alignment vertical="center"/>
    </xf>
    <xf numFmtId="42" fontId="13" fillId="0" borderId="0" xfId="1" applyNumberFormat="1" applyFont="1" applyFill="1" applyBorder="1" applyAlignment="1">
      <alignment vertical="center"/>
    </xf>
    <xf numFmtId="164" fontId="8" fillId="0" borderId="0" xfId="0" applyNumberFormat="1" applyFont="1" applyAlignment="1">
      <alignment vertical="center"/>
    </xf>
    <xf numFmtId="42" fontId="17" fillId="0" borderId="0" xfId="1" applyNumberFormat="1" applyFont="1" applyFill="1" applyBorder="1" applyAlignment="1">
      <alignment vertical="center"/>
    </xf>
    <xf numFmtId="0" fontId="26" fillId="0" borderId="0" xfId="0" applyFont="1" applyAlignment="1">
      <alignment horizontal="center" vertical="center"/>
    </xf>
    <xf numFmtId="164" fontId="13" fillId="0" borderId="0" xfId="2" applyNumberFormat="1" applyFont="1" applyFill="1" applyBorder="1" applyAlignment="1">
      <alignment vertical="center"/>
    </xf>
    <xf numFmtId="164" fontId="8" fillId="0" borderId="0" xfId="2" applyNumberFormat="1" applyFont="1" applyFill="1" applyBorder="1" applyAlignment="1">
      <alignment horizontal="right" vertical="center"/>
    </xf>
    <xf numFmtId="6" fontId="13" fillId="0" borderId="0" xfId="1" applyNumberFormat="1" applyFont="1" applyFill="1" applyBorder="1" applyAlignment="1">
      <alignment vertical="center"/>
    </xf>
    <xf numFmtId="164" fontId="8" fillId="0" borderId="0" xfId="2" applyNumberFormat="1" applyFont="1" applyFill="1" applyBorder="1" applyAlignment="1">
      <alignment vertical="center"/>
    </xf>
    <xf numFmtId="0" fontId="13" fillId="0" borderId="47" xfId="0" applyFont="1" applyBorder="1" applyAlignment="1">
      <alignment horizontal="center" vertical="center"/>
    </xf>
    <xf numFmtId="0" fontId="13" fillId="0" borderId="48" xfId="0" applyFont="1" applyBorder="1" applyAlignment="1">
      <alignment horizontal="center" vertical="center"/>
    </xf>
    <xf numFmtId="167" fontId="8" fillId="0" borderId="17" xfId="0" applyNumberFormat="1" applyFont="1" applyBorder="1" applyAlignment="1">
      <alignment vertical="center"/>
    </xf>
    <xf numFmtId="16" fontId="10" fillId="6" borderId="33" xfId="0" applyNumberFormat="1" applyFont="1" applyFill="1" applyBorder="1" applyAlignment="1">
      <alignment horizontal="center" vertical="center" wrapText="1"/>
    </xf>
    <xf numFmtId="164" fontId="8" fillId="0" borderId="51" xfId="2" applyNumberFormat="1" applyFont="1" applyFill="1" applyBorder="1" applyAlignment="1">
      <alignment horizontal="right" vertical="center"/>
    </xf>
    <xf numFmtId="164" fontId="8" fillId="0" borderId="52" xfId="2" applyNumberFormat="1" applyFont="1" applyBorder="1" applyAlignment="1">
      <alignment horizontal="right" vertical="center"/>
    </xf>
    <xf numFmtId="164" fontId="8" fillId="0" borderId="18" xfId="0" applyNumberFormat="1" applyFont="1" applyBorder="1" applyAlignment="1">
      <alignment horizontal="center" vertical="center"/>
    </xf>
    <xf numFmtId="44" fontId="8" fillId="0" borderId="18" xfId="0" applyNumberFormat="1" applyFont="1" applyBorder="1" applyAlignment="1">
      <alignment vertical="center"/>
    </xf>
    <xf numFmtId="0" fontId="11" fillId="3" borderId="5" xfId="0" applyFont="1" applyFill="1" applyBorder="1" applyAlignment="1">
      <alignment horizontal="center" vertical="center"/>
    </xf>
    <xf numFmtId="0" fontId="8" fillId="0" borderId="47" xfId="0" applyFont="1" applyBorder="1" applyAlignment="1">
      <alignment vertical="center"/>
    </xf>
    <xf numFmtId="0" fontId="13" fillId="0" borderId="45" xfId="0" applyFont="1" applyBorder="1" applyAlignment="1">
      <alignment vertical="center"/>
    </xf>
    <xf numFmtId="0" fontId="13" fillId="0" borderId="8" xfId="0" applyFont="1" applyBorder="1" applyAlignment="1">
      <alignment vertical="center"/>
    </xf>
    <xf numFmtId="0" fontId="13" fillId="8" borderId="45" xfId="0" applyFont="1" applyFill="1" applyBorder="1" applyAlignment="1">
      <alignment vertical="center"/>
    </xf>
    <xf numFmtId="0" fontId="13" fillId="8" borderId="8" xfId="0" applyFont="1" applyFill="1" applyBorder="1" applyAlignment="1">
      <alignment vertical="center"/>
    </xf>
    <xf numFmtId="0" fontId="8" fillId="0" borderId="57" xfId="0" applyFont="1" applyBorder="1" applyAlignment="1">
      <alignment vertical="center"/>
    </xf>
    <xf numFmtId="0" fontId="8" fillId="0" borderId="58" xfId="0" applyFont="1" applyBorder="1" applyAlignment="1">
      <alignment vertical="center"/>
    </xf>
    <xf numFmtId="7" fontId="8" fillId="0" borderId="58" xfId="0" applyNumberFormat="1" applyFont="1" applyBorder="1" applyAlignment="1">
      <alignment vertical="center"/>
    </xf>
    <xf numFmtId="44" fontId="8" fillId="0" borderId="58" xfId="0" applyNumberFormat="1" applyFont="1" applyBorder="1" applyAlignment="1">
      <alignment vertical="center"/>
    </xf>
    <xf numFmtId="0" fontId="8" fillId="0" borderId="58" xfId="0" applyFont="1" applyBorder="1" applyAlignment="1">
      <alignment horizontal="center" vertical="center"/>
    </xf>
    <xf numFmtId="44" fontId="8" fillId="0" borderId="59" xfId="0" applyNumberFormat="1" applyFont="1" applyBorder="1" applyAlignment="1">
      <alignment vertical="center"/>
    </xf>
    <xf numFmtId="0" fontId="13" fillId="0" borderId="47" xfId="0" applyFont="1" applyBorder="1" applyAlignment="1">
      <alignment vertical="center"/>
    </xf>
    <xf numFmtId="0" fontId="13" fillId="0" borderId="16" xfId="0" applyFont="1" applyBorder="1" applyAlignment="1">
      <alignment vertical="center"/>
    </xf>
    <xf numFmtId="9" fontId="20" fillId="0" borderId="16" xfId="0" applyNumberFormat="1" applyFont="1" applyBorder="1" applyAlignment="1">
      <alignment horizontal="center" vertical="center"/>
    </xf>
    <xf numFmtId="9" fontId="20" fillId="0" borderId="8" xfId="0" applyNumberFormat="1" applyFont="1" applyBorder="1" applyAlignment="1">
      <alignment horizontal="center" vertical="center"/>
    </xf>
    <xf numFmtId="0" fontId="13" fillId="0" borderId="46" xfId="0" applyFont="1" applyBorder="1" applyAlignment="1">
      <alignment vertical="center"/>
    </xf>
    <xf numFmtId="0" fontId="13" fillId="0" borderId="10" xfId="0" applyFont="1" applyBorder="1" applyAlignment="1">
      <alignment vertical="center"/>
    </xf>
    <xf numFmtId="0" fontId="8" fillId="0" borderId="46" xfId="0" applyFont="1" applyBorder="1" applyAlignment="1">
      <alignment vertical="center"/>
    </xf>
    <xf numFmtId="0" fontId="8" fillId="0" borderId="10" xfId="0" applyFont="1" applyBorder="1" applyAlignment="1">
      <alignment vertical="center"/>
    </xf>
    <xf numFmtId="164" fontId="12" fillId="0" borderId="10" xfId="0" applyNumberFormat="1" applyFont="1" applyBorder="1" applyAlignment="1">
      <alignment horizontal="center" vertical="center"/>
    </xf>
    <xf numFmtId="164" fontId="13" fillId="0" borderId="13" xfId="2" applyNumberFormat="1" applyFont="1" applyFill="1" applyBorder="1" applyAlignment="1">
      <alignment horizontal="right" vertical="center"/>
    </xf>
    <xf numFmtId="164" fontId="13" fillId="0" borderId="18" xfId="2" applyNumberFormat="1" applyFont="1" applyFill="1" applyBorder="1" applyAlignment="1">
      <alignment horizontal="right" vertical="center"/>
    </xf>
    <xf numFmtId="0" fontId="25" fillId="3" borderId="64" xfId="0" applyFont="1" applyFill="1" applyBorder="1" applyAlignment="1">
      <alignment horizontal="center" vertical="center"/>
    </xf>
    <xf numFmtId="42" fontId="8" fillId="3" borderId="64" xfId="0" applyNumberFormat="1" applyFont="1" applyFill="1" applyBorder="1" applyAlignment="1">
      <alignment vertical="center"/>
    </xf>
    <xf numFmtId="42" fontId="8" fillId="0" borderId="17" xfId="0" applyNumberFormat="1" applyFont="1" applyBorder="1" applyAlignment="1">
      <alignment vertical="center"/>
    </xf>
    <xf numFmtId="42" fontId="8" fillId="3" borderId="64" xfId="0" applyNumberFormat="1" applyFont="1" applyFill="1" applyBorder="1" applyAlignment="1">
      <alignment horizontal="center" vertical="center"/>
    </xf>
    <xf numFmtId="0" fontId="28" fillId="3" borderId="64" xfId="0" applyFont="1" applyFill="1" applyBorder="1" applyAlignment="1">
      <alignment horizontal="center" vertical="center"/>
    </xf>
    <xf numFmtId="0" fontId="8" fillId="3" borderId="65" xfId="0" applyFont="1" applyFill="1" applyBorder="1" applyAlignment="1">
      <alignment vertical="center"/>
    </xf>
    <xf numFmtId="0" fontId="32" fillId="0" borderId="0" xfId="0" applyFont="1" applyAlignment="1">
      <alignment horizontal="center" vertical="center"/>
    </xf>
    <xf numFmtId="0" fontId="3" fillId="0" borderId="0" xfId="0" applyFont="1" applyAlignment="1">
      <alignment horizontal="center" vertical="center"/>
    </xf>
    <xf numFmtId="0" fontId="8" fillId="0" borderId="0" xfId="0" applyFont="1" applyAlignment="1">
      <alignment wrapText="1"/>
    </xf>
    <xf numFmtId="0" fontId="0" fillId="0" borderId="0" xfId="0" applyAlignment="1">
      <alignment wrapText="1"/>
    </xf>
    <xf numFmtId="0" fontId="3" fillId="4" borderId="7" xfId="0" applyFont="1" applyFill="1" applyBorder="1" applyAlignment="1">
      <alignment horizontal="center" vertical="center"/>
    </xf>
    <xf numFmtId="0" fontId="0" fillId="4" borderId="1" xfId="0" applyFill="1" applyBorder="1"/>
    <xf numFmtId="165" fontId="8" fillId="0" borderId="30" xfId="0" applyNumberFormat="1" applyFont="1" applyBorder="1" applyAlignment="1">
      <alignment horizontal="center" vertical="center"/>
    </xf>
    <xf numFmtId="37" fontId="8" fillId="0" borderId="30" xfId="3" applyNumberFormat="1" applyFont="1" applyFill="1" applyBorder="1" applyAlignment="1">
      <alignment horizontal="center" vertical="center" readingOrder="1"/>
    </xf>
    <xf numFmtId="164" fontId="8" fillId="0" borderId="30" xfId="2" applyNumberFormat="1" applyFont="1" applyFill="1" applyBorder="1" applyAlignment="1">
      <alignment horizontal="center" vertical="center"/>
    </xf>
    <xf numFmtId="3" fontId="8" fillId="5" borderId="16" xfId="0" applyNumberFormat="1" applyFont="1" applyFill="1" applyBorder="1" applyAlignment="1">
      <alignment horizontal="center" vertical="center"/>
    </xf>
    <xf numFmtId="37" fontId="13" fillId="0" borderId="16" xfId="3" applyNumberFormat="1" applyFont="1" applyFill="1" applyBorder="1" applyAlignment="1">
      <alignment horizontal="center" vertical="center" readingOrder="1"/>
    </xf>
    <xf numFmtId="167" fontId="8" fillId="5" borderId="16" xfId="0" applyNumberFormat="1" applyFont="1" applyFill="1" applyBorder="1" applyAlignment="1">
      <alignment vertical="center"/>
    </xf>
    <xf numFmtId="3" fontId="8" fillId="5" borderId="8" xfId="0" applyNumberFormat="1" applyFont="1" applyFill="1" applyBorder="1" applyAlignment="1">
      <alignment horizontal="center" vertical="center"/>
    </xf>
    <xf numFmtId="164" fontId="8" fillId="0" borderId="8" xfId="2" applyNumberFormat="1" applyFont="1" applyBorder="1" applyAlignment="1">
      <alignment horizontal="center" vertical="center"/>
    </xf>
    <xf numFmtId="164" fontId="8" fillId="0" borderId="8" xfId="2" applyNumberFormat="1" applyFont="1" applyFill="1" applyBorder="1" applyAlignment="1">
      <alignment horizontal="center" vertical="center"/>
    </xf>
    <xf numFmtId="37" fontId="13" fillId="0" borderId="8" xfId="3" applyNumberFormat="1" applyFont="1" applyFill="1" applyBorder="1" applyAlignment="1">
      <alignment horizontal="center" vertical="center" readingOrder="1"/>
    </xf>
    <xf numFmtId="167" fontId="8" fillId="5" borderId="8" xfId="0" applyNumberFormat="1" applyFont="1" applyFill="1" applyBorder="1" applyAlignment="1">
      <alignment vertical="center"/>
    </xf>
    <xf numFmtId="37" fontId="13" fillId="0" borderId="10" xfId="3" applyNumberFormat="1" applyFont="1" applyFill="1" applyBorder="1" applyAlignment="1">
      <alignment horizontal="center" vertical="center" readingOrder="1"/>
    </xf>
    <xf numFmtId="37" fontId="8" fillId="5" borderId="16" xfId="3" applyNumberFormat="1" applyFont="1" applyFill="1" applyBorder="1" applyAlignment="1">
      <alignment horizontal="center" vertical="center" readingOrder="1"/>
    </xf>
    <xf numFmtId="37" fontId="8" fillId="5" borderId="8" xfId="3" applyNumberFormat="1" applyFont="1" applyFill="1" applyBorder="1" applyAlignment="1">
      <alignment horizontal="center" vertical="center" readingOrder="1"/>
    </xf>
    <xf numFmtId="165" fontId="8" fillId="0" borderId="8" xfId="0" applyNumberFormat="1" applyFont="1" applyBorder="1" applyAlignment="1">
      <alignment horizontal="center" vertical="center"/>
    </xf>
    <xf numFmtId="0" fontId="13" fillId="0" borderId="45" xfId="0" applyFont="1" applyBorder="1" applyAlignment="1">
      <alignment horizontal="center" vertical="center"/>
    </xf>
    <xf numFmtId="1" fontId="8" fillId="0" borderId="8" xfId="0" applyNumberFormat="1" applyFont="1" applyBorder="1" applyAlignment="1">
      <alignment horizontal="center" vertical="center"/>
    </xf>
    <xf numFmtId="1" fontId="13" fillId="0" borderId="8" xfId="0" applyNumberFormat="1" applyFont="1" applyBorder="1" applyAlignment="1">
      <alignment horizontal="center" vertical="center"/>
    </xf>
    <xf numFmtId="167" fontId="8" fillId="0" borderId="69" xfId="0" applyNumberFormat="1" applyFont="1" applyBorder="1" applyAlignment="1">
      <alignment vertical="center"/>
    </xf>
    <xf numFmtId="9" fontId="9" fillId="0" borderId="73" xfId="0" applyNumberFormat="1" applyFont="1" applyBorder="1" applyAlignment="1">
      <alignment horizontal="center" vertical="center"/>
    </xf>
    <xf numFmtId="0" fontId="8" fillId="0" borderId="74" xfId="0" applyFont="1" applyBorder="1" applyAlignment="1">
      <alignment vertical="center"/>
    </xf>
    <xf numFmtId="0" fontId="10" fillId="6" borderId="73" xfId="0" applyFont="1" applyFill="1" applyBorder="1" applyAlignment="1">
      <alignment horizontal="center" vertical="center" wrapText="1"/>
    </xf>
    <xf numFmtId="16" fontId="10" fillId="6" borderId="75" xfId="0" applyNumberFormat="1" applyFont="1" applyFill="1" applyBorder="1" applyAlignment="1">
      <alignment horizontal="center" vertical="center" wrapText="1"/>
    </xf>
    <xf numFmtId="0" fontId="13" fillId="0" borderId="77" xfId="0" applyFont="1" applyBorder="1" applyAlignment="1">
      <alignment horizontal="center" vertical="center"/>
    </xf>
    <xf numFmtId="167" fontId="8" fillId="0" borderId="78" xfId="0" applyNumberFormat="1" applyFont="1" applyBorder="1" applyAlignment="1">
      <alignment vertical="center"/>
    </xf>
    <xf numFmtId="0" fontId="13" fillId="0" borderId="79" xfId="0" applyFont="1" applyBorder="1" applyAlignment="1">
      <alignment horizontal="center" vertical="center"/>
    </xf>
    <xf numFmtId="167" fontId="8" fillId="0" borderId="80" xfId="0" applyNumberFormat="1" applyFont="1" applyBorder="1" applyAlignment="1">
      <alignment vertical="center"/>
    </xf>
    <xf numFmtId="0" fontId="13" fillId="0" borderId="81" xfId="0" applyFont="1" applyBorder="1" applyAlignment="1">
      <alignment horizontal="center" vertical="center"/>
    </xf>
    <xf numFmtId="165" fontId="8" fillId="5" borderId="29" xfId="0" applyNumberFormat="1" applyFont="1" applyFill="1" applyBorder="1" applyAlignment="1">
      <alignment horizontal="center" vertical="center"/>
    </xf>
    <xf numFmtId="37" fontId="8" fillId="0" borderId="29" xfId="3" applyNumberFormat="1" applyFont="1" applyFill="1" applyBorder="1" applyAlignment="1">
      <alignment horizontal="center" vertical="center" readingOrder="1"/>
    </xf>
    <xf numFmtId="3" fontId="8" fillId="5" borderId="29" xfId="0" applyNumberFormat="1" applyFont="1" applyFill="1" applyBorder="1" applyAlignment="1">
      <alignment horizontal="center" vertical="center"/>
    </xf>
    <xf numFmtId="164" fontId="8" fillId="0" borderId="29" xfId="2" applyNumberFormat="1" applyFont="1" applyBorder="1" applyAlignment="1">
      <alignment horizontal="center" vertical="center"/>
    </xf>
    <xf numFmtId="3" fontId="8" fillId="0" borderId="29" xfId="0" applyNumberFormat="1" applyFont="1" applyBorder="1" applyAlignment="1">
      <alignment horizontal="center" vertical="center"/>
    </xf>
    <xf numFmtId="164" fontId="8" fillId="0" borderId="29" xfId="2" applyNumberFormat="1" applyFont="1" applyFill="1" applyBorder="1" applyAlignment="1">
      <alignment horizontal="center" vertical="center"/>
    </xf>
    <xf numFmtId="37" fontId="13" fillId="0" borderId="29" xfId="3" applyNumberFormat="1" applyFont="1" applyFill="1" applyBorder="1" applyAlignment="1">
      <alignment horizontal="center" vertical="center" readingOrder="1"/>
    </xf>
    <xf numFmtId="167" fontId="12" fillId="0" borderId="15" xfId="0" applyNumberFormat="1" applyFont="1" applyBorder="1" applyAlignment="1">
      <alignment vertical="center"/>
    </xf>
    <xf numFmtId="167" fontId="12" fillId="0" borderId="32" xfId="0" applyNumberFormat="1" applyFont="1" applyBorder="1" applyAlignment="1">
      <alignment vertical="center"/>
    </xf>
    <xf numFmtId="167" fontId="16" fillId="0" borderId="22" xfId="0" applyNumberFormat="1" applyFont="1" applyBorder="1" applyAlignment="1">
      <alignment vertical="center"/>
    </xf>
    <xf numFmtId="167" fontId="16" fillId="0" borderId="18" xfId="0" applyNumberFormat="1" applyFont="1" applyBorder="1" applyAlignment="1">
      <alignment vertical="center"/>
    </xf>
    <xf numFmtId="167" fontId="16" fillId="0" borderId="9" xfId="0" applyNumberFormat="1" applyFont="1" applyBorder="1" applyAlignment="1">
      <alignment vertical="center"/>
    </xf>
    <xf numFmtId="167" fontId="20" fillId="0" borderId="19" xfId="0" applyNumberFormat="1" applyFont="1" applyBorder="1" applyAlignment="1">
      <alignment vertical="center"/>
    </xf>
    <xf numFmtId="167" fontId="20" fillId="0" borderId="23" xfId="0" applyNumberFormat="1" applyFont="1" applyBorder="1" applyAlignment="1">
      <alignment vertical="center"/>
    </xf>
    <xf numFmtId="167" fontId="20" fillId="0" borderId="11" xfId="0" applyNumberFormat="1" applyFont="1" applyBorder="1" applyAlignment="1">
      <alignment vertical="center"/>
    </xf>
    <xf numFmtId="9" fontId="36" fillId="0" borderId="0" xfId="2" applyFont="1" applyFill="1" applyAlignment="1">
      <alignment horizontal="center" vertical="center"/>
    </xf>
    <xf numFmtId="0" fontId="8" fillId="3" borderId="83" xfId="0" applyFont="1" applyFill="1" applyBorder="1" applyAlignment="1">
      <alignment vertical="center"/>
    </xf>
    <xf numFmtId="0" fontId="20" fillId="0" borderId="20" xfId="0" applyFont="1" applyBorder="1" applyAlignment="1">
      <alignment horizontal="center" vertical="center"/>
    </xf>
    <xf numFmtId="0" fontId="12" fillId="0" borderId="17" xfId="0" applyFont="1" applyBorder="1" applyAlignment="1">
      <alignment horizontal="left" vertical="center" wrapText="1"/>
    </xf>
    <xf numFmtId="0" fontId="12" fillId="0" borderId="9" xfId="0" applyFont="1" applyBorder="1" applyAlignment="1">
      <alignment vertical="center" wrapText="1"/>
    </xf>
    <xf numFmtId="0" fontId="37" fillId="0" borderId="0" xfId="0" applyFont="1"/>
    <xf numFmtId="0" fontId="12" fillId="0" borderId="0" xfId="0" applyFont="1" applyAlignment="1">
      <alignment wrapText="1"/>
    </xf>
    <xf numFmtId="0" fontId="32" fillId="0" borderId="0" xfId="0" applyFont="1"/>
    <xf numFmtId="165" fontId="8" fillId="0" borderId="49" xfId="0" applyNumberFormat="1" applyFont="1" applyBorder="1" applyAlignment="1">
      <alignment horizontal="center" vertical="center"/>
    </xf>
    <xf numFmtId="1" fontId="8" fillId="0" borderId="49" xfId="0" applyNumberFormat="1" applyFont="1" applyBorder="1" applyAlignment="1">
      <alignment horizontal="center" vertical="center"/>
    </xf>
    <xf numFmtId="164" fontId="8" fillId="0" borderId="49" xfId="2" applyNumberFormat="1" applyFont="1" applyFill="1" applyBorder="1" applyAlignment="1">
      <alignment horizontal="center" vertical="center"/>
    </xf>
    <xf numFmtId="1" fontId="13" fillId="0" borderId="49" xfId="0" applyNumberFormat="1" applyFont="1" applyBorder="1" applyAlignment="1">
      <alignment horizontal="center" vertical="center"/>
    </xf>
    <xf numFmtId="167" fontId="8" fillId="5" borderId="86" xfId="0" applyNumberFormat="1" applyFont="1" applyFill="1" applyBorder="1" applyAlignment="1">
      <alignment vertical="center"/>
    </xf>
    <xf numFmtId="167" fontId="8" fillId="0" borderId="85" xfId="0" applyNumberFormat="1" applyFont="1" applyBorder="1" applyAlignment="1">
      <alignment vertical="center"/>
    </xf>
    <xf numFmtId="1" fontId="8" fillId="5" borderId="16" xfId="0" applyNumberFormat="1" applyFont="1" applyFill="1" applyBorder="1" applyAlignment="1">
      <alignment horizontal="center" vertical="center"/>
    </xf>
    <xf numFmtId="0" fontId="13" fillId="0" borderId="87" xfId="0" applyFont="1" applyBorder="1" applyAlignment="1">
      <alignment horizontal="center" vertical="center"/>
    </xf>
    <xf numFmtId="167" fontId="8" fillId="5" borderId="29" xfId="0" applyNumberFormat="1" applyFont="1" applyFill="1" applyBorder="1" applyAlignment="1">
      <alignment vertical="center"/>
    </xf>
    <xf numFmtId="167" fontId="8" fillId="0" borderId="82" xfId="0" applyNumberFormat="1" applyFont="1" applyBorder="1" applyAlignment="1">
      <alignment vertical="center"/>
    </xf>
    <xf numFmtId="9" fontId="36" fillId="5" borderId="0" xfId="2" applyFont="1" applyFill="1" applyAlignment="1">
      <alignment horizontal="center" vertical="center"/>
    </xf>
    <xf numFmtId="3" fontId="13" fillId="0" borderId="16" xfId="0" applyNumberFormat="1" applyFont="1" applyBorder="1" applyAlignment="1">
      <alignment horizontal="center" vertical="center"/>
    </xf>
    <xf numFmtId="3" fontId="13" fillId="0" borderId="8" xfId="0" applyNumberFormat="1" applyFont="1" applyBorder="1" applyAlignment="1">
      <alignment horizontal="center" vertical="center"/>
    </xf>
    <xf numFmtId="3" fontId="13" fillId="0" borderId="10" xfId="0" applyNumberFormat="1" applyFont="1" applyBorder="1" applyAlignment="1">
      <alignment horizontal="center" vertical="center"/>
    </xf>
    <xf numFmtId="42" fontId="13" fillId="8" borderId="88" xfId="0" applyNumberFormat="1" applyFont="1" applyFill="1" applyBorder="1" applyAlignment="1">
      <alignment vertical="center"/>
    </xf>
    <xf numFmtId="164" fontId="8" fillId="0" borderId="88" xfId="0" applyNumberFormat="1" applyFont="1" applyBorder="1" applyAlignment="1">
      <alignment horizontal="center" vertical="center"/>
    </xf>
    <xf numFmtId="42" fontId="8" fillId="0" borderId="43" xfId="1" applyNumberFormat="1" applyFont="1" applyFill="1" applyBorder="1" applyAlignment="1">
      <alignment vertical="center"/>
    </xf>
    <xf numFmtId="42" fontId="13" fillId="0" borderId="89" xfId="1" applyNumberFormat="1" applyFont="1" applyBorder="1" applyAlignment="1">
      <alignment vertical="center"/>
    </xf>
    <xf numFmtId="42" fontId="34" fillId="0" borderId="0" xfId="0" applyNumberFormat="1" applyFont="1" applyAlignment="1">
      <alignment vertical="center"/>
    </xf>
    <xf numFmtId="44" fontId="13" fillId="5" borderId="60" xfId="1" applyFont="1" applyFill="1" applyBorder="1" applyAlignment="1">
      <alignment horizontal="center" vertical="center"/>
    </xf>
    <xf numFmtId="0" fontId="32" fillId="0" borderId="0" xfId="0" applyFont="1" applyAlignment="1">
      <alignment vertical="center"/>
    </xf>
    <xf numFmtId="0" fontId="35" fillId="0" borderId="0" xfId="0" applyFont="1" applyAlignment="1">
      <alignment horizontal="right" vertical="center"/>
    </xf>
    <xf numFmtId="6" fontId="13" fillId="0" borderId="0" xfId="0" applyNumberFormat="1" applyFont="1" applyAlignment="1">
      <alignment horizontal="right" vertical="center"/>
    </xf>
    <xf numFmtId="167" fontId="8" fillId="0" borderId="0" xfId="1" applyNumberFormat="1" applyFont="1" applyFill="1" applyAlignment="1">
      <alignment vertical="center"/>
    </xf>
    <xf numFmtId="9" fontId="13" fillId="0" borderId="0" xfId="0" applyNumberFormat="1" applyFont="1" applyAlignment="1">
      <alignment vertical="center"/>
    </xf>
    <xf numFmtId="0" fontId="33" fillId="0" borderId="0" xfId="0" applyFont="1" applyAlignment="1">
      <alignment horizontal="right" vertical="center"/>
    </xf>
    <xf numFmtId="167" fontId="34" fillId="0" borderId="0" xfId="1" applyNumberFormat="1" applyFont="1" applyFill="1" applyBorder="1" applyAlignment="1">
      <alignment vertical="center"/>
    </xf>
    <xf numFmtId="37" fontId="13" fillId="5" borderId="47" xfId="0" applyNumberFormat="1" applyFont="1" applyFill="1" applyBorder="1" applyAlignment="1">
      <alignment horizontal="center" vertical="center"/>
    </xf>
    <xf numFmtId="44" fontId="1" fillId="9" borderId="16" xfId="1" applyFont="1" applyFill="1" applyBorder="1" applyAlignment="1">
      <alignment horizontal="center" vertical="center"/>
    </xf>
    <xf numFmtId="37" fontId="13" fillId="5" borderId="45" xfId="0" applyNumberFormat="1" applyFont="1" applyFill="1" applyBorder="1" applyAlignment="1">
      <alignment horizontal="center" vertical="center"/>
    </xf>
    <xf numFmtId="44" fontId="1" fillId="9" borderId="8" xfId="1" applyFont="1" applyFill="1" applyBorder="1" applyAlignment="1">
      <alignment horizontal="center" vertical="center"/>
    </xf>
    <xf numFmtId="10" fontId="13" fillId="5" borderId="45" xfId="0" applyNumberFormat="1" applyFont="1" applyFill="1" applyBorder="1" applyAlignment="1">
      <alignment horizontal="center" vertical="center"/>
    </xf>
    <xf numFmtId="44" fontId="1" fillId="9" borderId="10" xfId="1" applyFont="1" applyFill="1" applyBorder="1" applyAlignment="1">
      <alignment horizontal="center" vertical="center"/>
    </xf>
    <xf numFmtId="9" fontId="13" fillId="5" borderId="60" xfId="0" applyNumberFormat="1" applyFont="1" applyFill="1" applyBorder="1" applyAlignment="1">
      <alignment horizontal="center" vertical="center"/>
    </xf>
    <xf numFmtId="0" fontId="8" fillId="0" borderId="90" xfId="0" applyFont="1" applyBorder="1" applyAlignment="1">
      <alignment vertical="center"/>
    </xf>
    <xf numFmtId="164" fontId="8" fillId="5" borderId="91" xfId="0" applyNumberFormat="1" applyFont="1" applyFill="1" applyBorder="1" applyAlignment="1">
      <alignment vertical="center"/>
    </xf>
    <xf numFmtId="44" fontId="8" fillId="0" borderId="91" xfId="1" applyFont="1" applyFill="1" applyBorder="1" applyAlignment="1">
      <alignment vertical="center"/>
    </xf>
    <xf numFmtId="44" fontId="8" fillId="0" borderId="91" xfId="1" applyFont="1" applyFill="1" applyBorder="1" applyAlignment="1">
      <alignment horizontal="center" vertical="center"/>
    </xf>
    <xf numFmtId="0" fontId="26" fillId="2" borderId="91" xfId="0" applyFont="1" applyFill="1" applyBorder="1" applyAlignment="1">
      <alignment horizontal="center" vertical="center"/>
    </xf>
    <xf numFmtId="164" fontId="13" fillId="0" borderId="91" xfId="2" applyNumberFormat="1" applyFont="1" applyFill="1" applyBorder="1" applyAlignment="1">
      <alignment horizontal="right" vertical="center"/>
    </xf>
    <xf numFmtId="42" fontId="13" fillId="0" borderId="94" xfId="1" applyNumberFormat="1" applyFont="1" applyBorder="1" applyAlignment="1">
      <alignment vertical="center"/>
    </xf>
    <xf numFmtId="42" fontId="17" fillId="0" borderId="95" xfId="1" applyNumberFormat="1" applyFont="1" applyFill="1" applyBorder="1" applyAlignment="1">
      <alignment vertical="center"/>
    </xf>
    <xf numFmtId="42" fontId="13" fillId="8" borderId="95" xfId="0" applyNumberFormat="1" applyFont="1" applyFill="1" applyBorder="1" applyAlignment="1">
      <alignment vertical="center"/>
    </xf>
    <xf numFmtId="164" fontId="8" fillId="0" borderId="95" xfId="0" applyNumberFormat="1" applyFont="1" applyBorder="1" applyAlignment="1">
      <alignment horizontal="center" vertical="center"/>
    </xf>
    <xf numFmtId="44" fontId="8" fillId="0" borderId="95" xfId="0" applyNumberFormat="1" applyFont="1" applyBorder="1" applyAlignment="1">
      <alignment vertical="center"/>
    </xf>
    <xf numFmtId="0" fontId="13" fillId="2" borderId="95" xfId="0" applyFont="1" applyFill="1" applyBorder="1" applyAlignment="1">
      <alignment vertical="center"/>
    </xf>
    <xf numFmtId="42" fontId="8" fillId="0" borderId="95" xfId="1" applyNumberFormat="1" applyFont="1" applyFill="1" applyBorder="1" applyAlignment="1">
      <alignment vertical="center"/>
    </xf>
    <xf numFmtId="42" fontId="8" fillId="0" borderId="93" xfId="1" applyNumberFormat="1" applyFont="1" applyFill="1" applyBorder="1" applyAlignment="1">
      <alignment vertical="center"/>
    </xf>
    <xf numFmtId="42" fontId="13" fillId="0" borderId="42" xfId="1" applyNumberFormat="1" applyFont="1" applyBorder="1" applyAlignment="1">
      <alignment vertical="center"/>
    </xf>
    <xf numFmtId="42" fontId="17" fillId="0" borderId="97" xfId="1" applyNumberFormat="1" applyFont="1" applyFill="1" applyBorder="1" applyAlignment="1">
      <alignment vertical="center"/>
    </xf>
    <xf numFmtId="42" fontId="13" fillId="8" borderId="97" xfId="0" applyNumberFormat="1" applyFont="1" applyFill="1" applyBorder="1" applyAlignment="1">
      <alignment vertical="center"/>
    </xf>
    <xf numFmtId="164" fontId="8" fillId="0" borderId="97" xfId="0" applyNumberFormat="1" applyFont="1" applyBorder="1" applyAlignment="1">
      <alignment horizontal="center" vertical="center"/>
    </xf>
    <xf numFmtId="44" fontId="8" fillId="0" borderId="97" xfId="0" applyNumberFormat="1" applyFont="1" applyBorder="1" applyAlignment="1">
      <alignment vertical="center"/>
    </xf>
    <xf numFmtId="0" fontId="13" fillId="2" borderId="97" xfId="0" applyFont="1" applyFill="1" applyBorder="1" applyAlignment="1">
      <alignment vertical="center"/>
    </xf>
    <xf numFmtId="42" fontId="8" fillId="0" borderId="97" xfId="1" applyNumberFormat="1" applyFont="1" applyFill="1" applyBorder="1" applyAlignment="1">
      <alignment vertical="center"/>
    </xf>
    <xf numFmtId="0" fontId="8" fillId="0" borderId="99" xfId="0" applyFont="1" applyBorder="1" applyAlignment="1">
      <alignment vertical="center"/>
    </xf>
    <xf numFmtId="164" fontId="8" fillId="5" borderId="100" xfId="0" applyNumberFormat="1" applyFont="1" applyFill="1" applyBorder="1" applyAlignment="1">
      <alignment vertical="center"/>
    </xf>
    <xf numFmtId="42" fontId="8" fillId="0" borderId="100" xfId="0" applyNumberFormat="1" applyFont="1" applyBorder="1" applyAlignment="1">
      <alignment vertical="center"/>
    </xf>
    <xf numFmtId="164" fontId="8" fillId="0" borderId="100" xfId="0" applyNumberFormat="1" applyFont="1" applyBorder="1" applyAlignment="1">
      <alignment horizontal="center" vertical="center"/>
    </xf>
    <xf numFmtId="0" fontId="8" fillId="0" borderId="100" xfId="0" applyFont="1" applyBorder="1" applyAlignment="1">
      <alignment vertical="center"/>
    </xf>
    <xf numFmtId="0" fontId="26" fillId="2" borderId="100" xfId="0" applyFont="1" applyFill="1" applyBorder="1" applyAlignment="1">
      <alignment horizontal="center" vertical="center"/>
    </xf>
    <xf numFmtId="164" fontId="13" fillId="0" borderId="100" xfId="2" applyNumberFormat="1" applyFont="1" applyFill="1" applyBorder="1" applyAlignment="1">
      <alignment horizontal="right" vertical="center"/>
    </xf>
    <xf numFmtId="164" fontId="8" fillId="0" borderId="102" xfId="2" applyNumberFormat="1" applyFont="1" applyFill="1" applyBorder="1" applyAlignment="1">
      <alignment horizontal="right" vertical="center"/>
    </xf>
    <xf numFmtId="167" fontId="12" fillId="0" borderId="15" xfId="0" applyNumberFormat="1" applyFont="1" applyBorder="1" applyAlignment="1">
      <alignment horizontal="center" vertical="center"/>
    </xf>
    <xf numFmtId="167" fontId="12" fillId="0" borderId="21" xfId="0" applyNumberFormat="1" applyFont="1" applyBorder="1" applyAlignment="1">
      <alignment horizontal="center" vertical="center"/>
    </xf>
    <xf numFmtId="42" fontId="8" fillId="5" borderId="97" xfId="1" applyNumberFormat="1" applyFont="1" applyFill="1" applyBorder="1" applyAlignment="1">
      <alignment vertical="center"/>
    </xf>
    <xf numFmtId="167" fontId="8" fillId="5" borderId="97" xfId="1" applyNumberFormat="1" applyFont="1" applyFill="1" applyBorder="1" applyAlignment="1">
      <alignment vertical="center"/>
    </xf>
    <xf numFmtId="9" fontId="36" fillId="0" borderId="103" xfId="2" applyFont="1" applyFill="1" applyBorder="1" applyAlignment="1">
      <alignment horizontal="center" vertical="center"/>
    </xf>
    <xf numFmtId="0" fontId="43" fillId="7" borderId="4" xfId="0" applyFont="1" applyFill="1" applyBorder="1" applyAlignment="1">
      <alignment horizontal="center" vertical="center"/>
    </xf>
    <xf numFmtId="0" fontId="25" fillId="7" borderId="46" xfId="0" applyFont="1" applyFill="1" applyBorder="1" applyAlignment="1">
      <alignment horizontal="center" vertical="center"/>
    </xf>
    <xf numFmtId="42" fontId="13" fillId="0" borderId="21" xfId="1" applyNumberFormat="1" applyFont="1" applyBorder="1" applyAlignment="1">
      <alignment vertical="center"/>
    </xf>
    <xf numFmtId="42" fontId="17" fillId="0" borderId="22" xfId="1" applyNumberFormat="1" applyFont="1" applyFill="1" applyBorder="1" applyAlignment="1">
      <alignment vertical="center"/>
    </xf>
    <xf numFmtId="42" fontId="13" fillId="8" borderId="22" xfId="0" applyNumberFormat="1" applyFont="1" applyFill="1" applyBorder="1" applyAlignment="1">
      <alignment vertical="center"/>
    </xf>
    <xf numFmtId="164" fontId="8" fillId="0" borderId="22" xfId="0" applyNumberFormat="1" applyFont="1" applyBorder="1" applyAlignment="1">
      <alignment horizontal="center" vertical="center"/>
    </xf>
    <xf numFmtId="44" fontId="8" fillId="0" borderId="22" xfId="0" applyNumberFormat="1" applyFont="1" applyBorder="1" applyAlignment="1">
      <alignment vertical="center"/>
    </xf>
    <xf numFmtId="0" fontId="13" fillId="2" borderId="22" xfId="0" applyFont="1" applyFill="1" applyBorder="1" applyAlignment="1">
      <alignment vertical="center"/>
    </xf>
    <xf numFmtId="42" fontId="8" fillId="5" borderId="22" xfId="1" applyNumberFormat="1" applyFont="1" applyFill="1" applyBorder="1" applyAlignment="1">
      <alignment vertical="center"/>
    </xf>
    <xf numFmtId="167" fontId="8" fillId="5" borderId="22" xfId="1" applyNumberFormat="1" applyFont="1" applyFill="1" applyBorder="1" applyAlignment="1">
      <alignment vertical="center"/>
    </xf>
    <xf numFmtId="42" fontId="8" fillId="0" borderId="107" xfId="1" applyNumberFormat="1" applyFont="1" applyFill="1" applyBorder="1" applyAlignment="1">
      <alignment vertical="center"/>
    </xf>
    <xf numFmtId="0" fontId="8" fillId="0" borderId="88" xfId="0" applyFont="1" applyBorder="1" applyAlignment="1">
      <alignment vertical="center"/>
    </xf>
    <xf numFmtId="0" fontId="8" fillId="2" borderId="88" xfId="0" applyFont="1" applyFill="1" applyBorder="1" applyAlignment="1">
      <alignment vertical="center"/>
    </xf>
    <xf numFmtId="42" fontId="8" fillId="5" borderId="108" xfId="1" applyNumberFormat="1" applyFont="1" applyFill="1" applyBorder="1" applyAlignment="1">
      <alignment vertical="center"/>
    </xf>
    <xf numFmtId="42" fontId="13" fillId="0" borderId="111" xfId="0" applyNumberFormat="1" applyFont="1" applyBorder="1" applyAlignment="1">
      <alignment vertical="center"/>
    </xf>
    <xf numFmtId="164" fontId="8" fillId="0" borderId="111" xfId="0" applyNumberFormat="1" applyFont="1" applyBorder="1" applyAlignment="1">
      <alignment horizontal="center" vertical="center"/>
    </xf>
    <xf numFmtId="0" fontId="8" fillId="0" borderId="111" xfId="0" applyFont="1" applyBorder="1" applyAlignment="1">
      <alignment vertical="center"/>
    </xf>
    <xf numFmtId="0" fontId="26" fillId="2" borderId="110" xfId="0" applyFont="1" applyFill="1" applyBorder="1" applyAlignment="1">
      <alignment horizontal="center" vertical="center"/>
    </xf>
    <xf numFmtId="164" fontId="13" fillId="5" borderId="112" xfId="2" applyNumberFormat="1" applyFont="1" applyFill="1" applyBorder="1" applyAlignment="1">
      <alignment vertical="center"/>
    </xf>
    <xf numFmtId="164" fontId="13" fillId="0" borderId="110" xfId="2" applyNumberFormat="1" applyFont="1" applyFill="1" applyBorder="1" applyAlignment="1">
      <alignment vertical="center"/>
    </xf>
    <xf numFmtId="164" fontId="8" fillId="0" borderId="114" xfId="2" applyNumberFormat="1" applyFont="1" applyFill="1" applyBorder="1" applyAlignment="1">
      <alignment vertical="center"/>
    </xf>
    <xf numFmtId="0" fontId="11" fillId="3" borderId="115" xfId="0" applyFont="1" applyFill="1" applyBorder="1" applyAlignment="1">
      <alignment horizontal="center" vertical="center"/>
    </xf>
    <xf numFmtId="167" fontId="12" fillId="0" borderId="116" xfId="0" applyNumberFormat="1" applyFont="1" applyBorder="1" applyAlignment="1">
      <alignment vertical="center"/>
    </xf>
    <xf numFmtId="164" fontId="8" fillId="0" borderId="10" xfId="2" applyNumberFormat="1" applyFont="1" applyFill="1" applyBorder="1" applyAlignment="1">
      <alignment horizontal="center" vertical="center"/>
    </xf>
    <xf numFmtId="0" fontId="34" fillId="0" borderId="0" xfId="0" applyFont="1" applyAlignment="1">
      <alignment horizontal="left" vertical="center" indent="1"/>
    </xf>
    <xf numFmtId="0" fontId="13" fillId="0" borderId="0" xfId="0" applyFont="1" applyAlignment="1">
      <alignment vertical="center"/>
    </xf>
    <xf numFmtId="167" fontId="8" fillId="5" borderId="117" xfId="1" applyNumberFormat="1" applyFont="1" applyFill="1" applyBorder="1" applyAlignment="1">
      <alignment vertical="center"/>
    </xf>
    <xf numFmtId="0" fontId="31" fillId="0" borderId="0" xfId="0" applyFont="1" applyAlignment="1">
      <alignment horizontal="right"/>
    </xf>
    <xf numFmtId="42" fontId="1" fillId="0" borderId="96" xfId="1" applyNumberFormat="1" applyFont="1" applyBorder="1" applyAlignment="1">
      <alignment vertical="center"/>
    </xf>
    <xf numFmtId="42" fontId="1" fillId="0" borderId="94" xfId="1" applyNumberFormat="1" applyFont="1" applyBorder="1" applyAlignment="1">
      <alignment vertical="center"/>
    </xf>
    <xf numFmtId="42" fontId="1" fillId="0" borderId="106" xfId="1" applyNumberFormat="1" applyFont="1" applyBorder="1" applyAlignment="1">
      <alignment vertical="center"/>
    </xf>
    <xf numFmtId="42" fontId="1" fillId="0" borderId="21" xfId="1" applyNumberFormat="1" applyFont="1" applyBorder="1" applyAlignment="1">
      <alignment vertical="center"/>
    </xf>
    <xf numFmtId="42" fontId="1" fillId="0" borderId="120" xfId="1" applyNumberFormat="1" applyFont="1" applyBorder="1" applyAlignment="1">
      <alignment vertical="center"/>
    </xf>
    <xf numFmtId="42" fontId="1" fillId="0" borderId="121" xfId="1" applyNumberFormat="1" applyFont="1" applyBorder="1" applyAlignment="1">
      <alignment vertical="center"/>
    </xf>
    <xf numFmtId="42" fontId="13" fillId="0" borderId="122" xfId="1" applyNumberFormat="1" applyFont="1" applyBorder="1" applyAlignment="1">
      <alignment vertical="center"/>
    </xf>
    <xf numFmtId="42" fontId="17" fillId="0" borderId="123" xfId="1" applyNumberFormat="1" applyFont="1" applyFill="1" applyBorder="1" applyAlignment="1">
      <alignment vertical="center"/>
    </xf>
    <xf numFmtId="42" fontId="1" fillId="0" borderId="122" xfId="1" applyNumberFormat="1" applyFont="1" applyBorder="1" applyAlignment="1">
      <alignment vertical="center"/>
    </xf>
    <xf numFmtId="42" fontId="1" fillId="0" borderId="35" xfId="1" applyNumberFormat="1" applyFont="1" applyBorder="1" applyAlignment="1">
      <alignment vertical="center"/>
    </xf>
    <xf numFmtId="0" fontId="13" fillId="0" borderId="46" xfId="0" applyFont="1" applyBorder="1" applyAlignment="1">
      <alignment horizontal="center" vertical="center"/>
    </xf>
    <xf numFmtId="37" fontId="13" fillId="5" borderId="28" xfId="3" applyNumberFormat="1" applyFont="1" applyFill="1" applyBorder="1" applyAlignment="1">
      <alignment horizontal="center" vertical="center"/>
    </xf>
    <xf numFmtId="37" fontId="1" fillId="5" borderId="16" xfId="3" applyNumberFormat="1" applyFont="1" applyFill="1" applyBorder="1" applyAlignment="1">
      <alignment horizontal="center" vertical="center"/>
    </xf>
    <xf numFmtId="37" fontId="1" fillId="5" borderId="8" xfId="3" applyNumberFormat="1" applyFont="1" applyFill="1" applyBorder="1" applyAlignment="1">
      <alignment horizontal="center" vertical="center"/>
    </xf>
    <xf numFmtId="37" fontId="1" fillId="5" borderId="29" xfId="3" applyNumberFormat="1" applyFont="1" applyFill="1" applyBorder="1" applyAlignment="1">
      <alignment horizontal="center" vertical="center"/>
    </xf>
    <xf numFmtId="0" fontId="25" fillId="7" borderId="2" xfId="0" applyFont="1" applyFill="1" applyBorder="1" applyAlignment="1">
      <alignment vertical="center"/>
    </xf>
    <xf numFmtId="167" fontId="1" fillId="5" borderId="42" xfId="1" applyNumberFormat="1" applyFont="1" applyFill="1" applyBorder="1" applyAlignment="1">
      <alignment horizontal="center" vertical="center"/>
    </xf>
    <xf numFmtId="167" fontId="1" fillId="5" borderId="97" xfId="1" applyNumberFormat="1" applyFont="1" applyFill="1" applyBorder="1" applyAlignment="1">
      <alignment horizontal="center" vertical="center"/>
    </xf>
    <xf numFmtId="167" fontId="1" fillId="5" borderId="98" xfId="1" applyNumberFormat="1" applyFont="1" applyFill="1" applyBorder="1" applyAlignment="1">
      <alignment horizontal="center" vertical="center"/>
    </xf>
    <xf numFmtId="167" fontId="13" fillId="5" borderId="43" xfId="1" applyNumberFormat="1" applyFont="1" applyFill="1" applyBorder="1" applyAlignment="1">
      <alignment horizontal="center" vertical="center"/>
    </xf>
    <xf numFmtId="0" fontId="8" fillId="0" borderId="0" xfId="0" applyFont="1" applyAlignment="1">
      <alignment horizontal="center" vertical="center"/>
    </xf>
    <xf numFmtId="37" fontId="13" fillId="5" borderId="124" xfId="0" applyNumberFormat="1" applyFont="1" applyFill="1" applyBorder="1" applyAlignment="1">
      <alignment horizontal="center" vertical="center"/>
    </xf>
    <xf numFmtId="10" fontId="13" fillId="5" borderId="124" xfId="0" applyNumberFormat="1" applyFont="1" applyFill="1" applyBorder="1" applyAlignment="1">
      <alignment horizontal="center" vertical="center"/>
    </xf>
    <xf numFmtId="0" fontId="25" fillId="0" borderId="0" xfId="0" applyFont="1" applyAlignment="1">
      <alignment horizontal="center" vertical="center"/>
    </xf>
    <xf numFmtId="165" fontId="13" fillId="0" borderId="0" xfId="0" applyNumberFormat="1" applyFont="1" applyAlignment="1">
      <alignment horizontal="center" vertical="center"/>
    </xf>
    <xf numFmtId="0" fontId="12" fillId="0" borderId="17" xfId="0" applyFont="1" applyBorder="1" applyAlignment="1">
      <alignment vertical="center" wrapText="1"/>
    </xf>
    <xf numFmtId="0" fontId="20" fillId="0" borderId="14" xfId="0" applyFont="1" applyBorder="1" applyAlignment="1">
      <alignment horizontal="center" vertical="center"/>
    </xf>
    <xf numFmtId="0" fontId="12" fillId="0" borderId="11" xfId="0" applyFont="1" applyBorder="1" applyAlignment="1">
      <alignment vertical="center" wrapText="1"/>
    </xf>
    <xf numFmtId="167" fontId="13" fillId="0" borderId="63" xfId="0" applyNumberFormat="1" applyFont="1" applyBorder="1" applyAlignment="1">
      <alignment horizontal="center" vertical="center"/>
    </xf>
    <xf numFmtId="166" fontId="13" fillId="5" borderId="60" xfId="3" applyNumberFormat="1" applyFont="1" applyFill="1" applyBorder="1" applyAlignment="1">
      <alignment horizontal="center" vertical="center"/>
    </xf>
    <xf numFmtId="167" fontId="48" fillId="0" borderId="61" xfId="1" applyNumberFormat="1" applyFont="1" applyFill="1" applyBorder="1" applyAlignment="1">
      <alignment horizontal="center" vertical="center"/>
    </xf>
    <xf numFmtId="167" fontId="13" fillId="0" borderId="62" xfId="0" applyNumberFormat="1" applyFont="1" applyBorder="1" applyAlignment="1">
      <alignment horizontal="center" vertical="center"/>
    </xf>
    <xf numFmtId="164" fontId="13" fillId="10" borderId="53" xfId="2" applyNumberFormat="1" applyFont="1" applyFill="1" applyBorder="1" applyAlignment="1">
      <alignment horizontal="right" vertical="center"/>
    </xf>
    <xf numFmtId="42" fontId="8" fillId="10" borderId="96" xfId="1" applyNumberFormat="1" applyFont="1" applyFill="1" applyBorder="1" applyAlignment="1">
      <alignment vertical="center"/>
    </xf>
    <xf numFmtId="164" fontId="13" fillId="10" borderId="92" xfId="2" applyNumberFormat="1" applyFont="1" applyFill="1" applyBorder="1" applyAlignment="1">
      <alignment horizontal="right" vertical="center"/>
    </xf>
    <xf numFmtId="167" fontId="8" fillId="10" borderId="106" xfId="1" applyNumberFormat="1" applyFont="1" applyFill="1" applyBorder="1" applyAlignment="1">
      <alignment vertical="center"/>
    </xf>
    <xf numFmtId="164" fontId="13" fillId="10" borderId="50" xfId="2" applyNumberFormat="1" applyFont="1" applyFill="1" applyBorder="1" applyAlignment="1">
      <alignment horizontal="right" vertical="center"/>
    </xf>
    <xf numFmtId="167" fontId="8" fillId="10" borderId="98" xfId="1" applyNumberFormat="1" applyFont="1" applyFill="1" applyBorder="1" applyAlignment="1">
      <alignment vertical="center"/>
    </xf>
    <xf numFmtId="164" fontId="13" fillId="10" borderId="101" xfId="2" applyNumberFormat="1" applyFont="1" applyFill="1" applyBorder="1" applyAlignment="1">
      <alignment horizontal="right" vertical="center"/>
    </xf>
    <xf numFmtId="164" fontId="13" fillId="10" borderId="113" xfId="2" applyNumberFormat="1" applyFont="1" applyFill="1" applyBorder="1" applyAlignment="1">
      <alignment horizontal="right" vertical="center"/>
    </xf>
    <xf numFmtId="167" fontId="8" fillId="10" borderId="27" xfId="1" applyNumberFormat="1" applyFont="1" applyFill="1" applyBorder="1" applyAlignment="1">
      <alignment vertical="center"/>
    </xf>
    <xf numFmtId="9" fontId="8" fillId="0" borderId="19" xfId="2" applyFont="1" applyFill="1" applyBorder="1" applyAlignment="1">
      <alignment horizontal="center" vertical="center"/>
    </xf>
    <xf numFmtId="9" fontId="8" fillId="0" borderId="11" xfId="2" applyFont="1" applyFill="1" applyBorder="1" applyAlignment="1">
      <alignment horizontal="center" vertical="center"/>
    </xf>
    <xf numFmtId="9" fontId="5" fillId="3" borderId="70" xfId="0" applyNumberFormat="1" applyFont="1" applyFill="1" applyBorder="1" applyAlignment="1">
      <alignment horizontal="center" vertical="center"/>
    </xf>
    <xf numFmtId="9" fontId="5" fillId="3" borderId="71" xfId="0" applyNumberFormat="1" applyFont="1" applyFill="1" applyBorder="1" applyAlignment="1">
      <alignment horizontal="center" vertical="center"/>
    </xf>
    <xf numFmtId="9" fontId="5" fillId="3" borderId="72" xfId="0" applyNumberFormat="1" applyFont="1" applyFill="1" applyBorder="1" applyAlignment="1">
      <alignment horizontal="center" vertical="center"/>
    </xf>
    <xf numFmtId="0" fontId="10" fillId="6" borderId="0" xfId="0" applyFont="1" applyFill="1" applyAlignment="1">
      <alignment horizontal="center" vertical="center" wrapText="1"/>
    </xf>
    <xf numFmtId="0" fontId="10" fillId="6" borderId="74" xfId="0" applyFont="1" applyFill="1" applyBorder="1" applyAlignment="1">
      <alignment horizontal="center" vertical="center" wrapText="1"/>
    </xf>
    <xf numFmtId="0" fontId="10" fillId="6" borderId="76" xfId="0" applyFont="1" applyFill="1" applyBorder="1" applyAlignment="1">
      <alignment horizontal="center" vertical="center" wrapText="1"/>
    </xf>
    <xf numFmtId="0" fontId="4" fillId="3" borderId="3" xfId="0" applyFont="1" applyFill="1" applyBorder="1" applyAlignment="1">
      <alignment horizontal="center" vertical="center"/>
    </xf>
    <xf numFmtId="0" fontId="4" fillId="3" borderId="0" xfId="0" applyFont="1" applyFill="1" applyAlignment="1">
      <alignment horizontal="center" vertical="center"/>
    </xf>
    <xf numFmtId="0" fontId="13" fillId="0" borderId="143" xfId="0" applyFont="1" applyBorder="1" applyAlignment="1">
      <alignment horizontal="left" vertical="center" indent="1"/>
    </xf>
    <xf numFmtId="0" fontId="13" fillId="0" borderId="126" xfId="0" applyFont="1" applyBorder="1" applyAlignment="1">
      <alignment horizontal="left" vertical="center" indent="1"/>
    </xf>
    <xf numFmtId="0" fontId="13" fillId="0" borderId="127" xfId="0" applyFont="1" applyBorder="1" applyAlignment="1">
      <alignment horizontal="left" vertical="center" indent="1"/>
    </xf>
    <xf numFmtId="0" fontId="13" fillId="0" borderId="144" xfId="0" applyFont="1" applyBorder="1" applyAlignment="1">
      <alignment horizontal="left" vertical="center" indent="1"/>
    </xf>
    <xf numFmtId="0" fontId="13" fillId="0" borderId="128" xfId="0" applyFont="1" applyBorder="1" applyAlignment="1">
      <alignment horizontal="left" vertical="center" indent="1"/>
    </xf>
    <xf numFmtId="0" fontId="13" fillId="0" borderId="129" xfId="0" applyFont="1" applyBorder="1" applyAlignment="1">
      <alignment horizontal="left" vertical="center" indent="1"/>
    </xf>
    <xf numFmtId="0" fontId="13" fillId="0" borderId="145" xfId="0" applyFont="1" applyBorder="1" applyAlignment="1">
      <alignment horizontal="left" vertical="center" indent="1"/>
    </xf>
    <xf numFmtId="0" fontId="13" fillId="0" borderId="130" xfId="0" applyFont="1" applyBorder="1" applyAlignment="1">
      <alignment horizontal="left" vertical="center" indent="1"/>
    </xf>
    <xf numFmtId="0" fontId="13" fillId="0" borderId="131" xfId="0" applyFont="1" applyBorder="1" applyAlignment="1">
      <alignment horizontal="left" vertical="center" indent="1"/>
    </xf>
    <xf numFmtId="0" fontId="23" fillId="3" borderId="146" xfId="0" applyFont="1" applyFill="1" applyBorder="1" applyAlignment="1">
      <alignment horizontal="center" vertical="center"/>
    </xf>
    <xf numFmtId="0" fontId="23" fillId="3" borderId="3" xfId="0" applyFont="1" applyFill="1" applyBorder="1" applyAlignment="1">
      <alignment horizontal="center" vertical="center"/>
    </xf>
    <xf numFmtId="0" fontId="23" fillId="3" borderId="4" xfId="0" applyFont="1" applyFill="1" applyBorder="1" applyAlignment="1">
      <alignment horizontal="center" vertical="center"/>
    </xf>
    <xf numFmtId="0" fontId="4" fillId="3" borderId="36" xfId="0" applyFont="1" applyFill="1" applyBorder="1" applyAlignment="1">
      <alignment horizontal="center" vertical="center"/>
    </xf>
    <xf numFmtId="0" fontId="4" fillId="3" borderId="37" xfId="0" applyFont="1" applyFill="1" applyBorder="1" applyAlignment="1">
      <alignment horizontal="center" vertical="center"/>
    </xf>
    <xf numFmtId="164" fontId="8" fillId="0" borderId="29" xfId="0" applyNumberFormat="1" applyFont="1" applyBorder="1" applyAlignment="1">
      <alignment horizontal="center" vertical="center"/>
    </xf>
    <xf numFmtId="164" fontId="8" fillId="0" borderId="8" xfId="0" applyNumberFormat="1" applyFont="1" applyBorder="1" applyAlignment="1">
      <alignment horizontal="center" vertical="center"/>
    </xf>
    <xf numFmtId="164" fontId="8" fillId="0" borderId="9" xfId="0" applyNumberFormat="1" applyFont="1" applyBorder="1" applyAlignment="1">
      <alignment horizontal="center" vertical="center"/>
    </xf>
    <xf numFmtId="42" fontId="8" fillId="0" borderId="29" xfId="1" applyNumberFormat="1" applyFont="1" applyBorder="1" applyAlignment="1">
      <alignment horizontal="center" vertical="center"/>
    </xf>
    <xf numFmtId="42" fontId="8" fillId="0" borderId="118" xfId="1" applyNumberFormat="1" applyFont="1" applyBorder="1" applyAlignment="1">
      <alignment horizontal="center" vertical="center"/>
    </xf>
    <xf numFmtId="42" fontId="8" fillId="0" borderId="119" xfId="1" applyNumberFormat="1" applyFont="1" applyBorder="1" applyAlignment="1">
      <alignment horizontal="center" vertical="center"/>
    </xf>
    <xf numFmtId="164" fontId="12" fillId="0" borderId="28" xfId="0" applyNumberFormat="1" applyFont="1" applyBorder="1" applyAlignment="1">
      <alignment horizontal="center" vertical="center"/>
    </xf>
    <xf numFmtId="164" fontId="13" fillId="0" borderId="16" xfId="0" applyNumberFormat="1" applyFont="1" applyBorder="1" applyAlignment="1">
      <alignment horizontal="center" vertical="center"/>
    </xf>
    <xf numFmtId="167" fontId="8" fillId="5" borderId="8" xfId="0" applyNumberFormat="1" applyFont="1" applyFill="1" applyBorder="1" applyAlignment="1">
      <alignment horizontal="center" vertical="center"/>
    </xf>
    <xf numFmtId="0" fontId="25" fillId="3" borderId="7" xfId="0" applyFont="1" applyFill="1" applyBorder="1" applyAlignment="1">
      <alignment horizontal="center" vertical="center"/>
    </xf>
    <xf numFmtId="0" fontId="25" fillId="3" borderId="0" xfId="0" applyFont="1" applyFill="1" applyAlignment="1">
      <alignment horizontal="center" vertical="center"/>
    </xf>
    <xf numFmtId="0" fontId="24" fillId="0" borderId="16" xfId="0" applyFont="1" applyBorder="1" applyAlignment="1">
      <alignment horizontal="center" vertical="center"/>
    </xf>
    <xf numFmtId="0" fontId="24" fillId="0" borderId="17" xfId="0" applyFont="1" applyBorder="1" applyAlignment="1">
      <alignment horizontal="center" vertical="center"/>
    </xf>
    <xf numFmtId="0" fontId="23" fillId="4" borderId="0" xfId="0" applyFont="1" applyFill="1" applyAlignment="1">
      <alignment horizontal="center" vertical="center"/>
    </xf>
    <xf numFmtId="0" fontId="23" fillId="4" borderId="1" xfId="0" applyFont="1" applyFill="1" applyBorder="1" applyAlignment="1">
      <alignment horizontal="center" vertical="center"/>
    </xf>
    <xf numFmtId="0" fontId="23" fillId="4" borderId="7" xfId="0" applyFont="1" applyFill="1" applyBorder="1" applyAlignment="1">
      <alignment horizontal="center" vertical="center"/>
    </xf>
    <xf numFmtId="0" fontId="23" fillId="4" borderId="104" xfId="0" applyFont="1" applyFill="1" applyBorder="1" applyAlignment="1">
      <alignment horizontal="center" vertical="center"/>
    </xf>
    <xf numFmtId="0" fontId="4" fillId="3" borderId="125"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105" xfId="0" applyFont="1" applyFill="1" applyBorder="1" applyAlignment="1">
      <alignment horizontal="center" vertical="center"/>
    </xf>
    <xf numFmtId="0" fontId="25" fillId="3" borderId="104" xfId="0" applyFont="1" applyFill="1" applyBorder="1" applyAlignment="1">
      <alignment horizontal="center" vertical="center"/>
    </xf>
    <xf numFmtId="167" fontId="38" fillId="0" borderId="136" xfId="0" applyNumberFormat="1" applyFont="1" applyBorder="1" applyAlignment="1">
      <alignment horizontal="center" vertical="center"/>
    </xf>
    <xf numFmtId="167" fontId="38" fillId="0" borderId="137" xfId="0" applyNumberFormat="1" applyFont="1" applyBorder="1" applyAlignment="1">
      <alignment horizontal="center" vertical="center"/>
    </xf>
    <xf numFmtId="0" fontId="19" fillId="3" borderId="65" xfId="0" applyFont="1" applyFill="1" applyBorder="1" applyAlignment="1">
      <alignment horizontal="center" vertical="center"/>
    </xf>
    <xf numFmtId="0" fontId="19" fillId="3" borderId="2" xfId="0" applyFont="1" applyFill="1" applyBorder="1" applyAlignment="1">
      <alignment horizontal="center" vertical="center"/>
    </xf>
    <xf numFmtId="167" fontId="8" fillId="0" borderId="8" xfId="0" applyNumberFormat="1" applyFont="1" applyBorder="1" applyAlignment="1">
      <alignment horizontal="center" vertical="center"/>
    </xf>
    <xf numFmtId="167" fontId="8" fillId="0" borderId="9" xfId="0" applyNumberFormat="1" applyFont="1" applyBorder="1" applyAlignment="1">
      <alignment horizontal="center" vertical="center"/>
    </xf>
    <xf numFmtId="42" fontId="40" fillId="0" borderId="8" xfId="1" applyNumberFormat="1" applyFont="1" applyBorder="1" applyAlignment="1">
      <alignment horizontal="left" vertical="center"/>
    </xf>
    <xf numFmtId="42" fontId="40" fillId="0" borderId="9" xfId="1" applyNumberFormat="1" applyFont="1" applyBorder="1" applyAlignment="1">
      <alignment horizontal="left" vertical="center"/>
    </xf>
    <xf numFmtId="164" fontId="8" fillId="0" borderId="16" xfId="0" applyNumberFormat="1" applyFont="1" applyBorder="1" applyAlignment="1">
      <alignment horizontal="center" vertical="center"/>
    </xf>
    <xf numFmtId="164" fontId="8" fillId="0" borderId="17" xfId="0" applyNumberFormat="1" applyFont="1" applyBorder="1" applyAlignment="1">
      <alignment horizontal="center" vertical="center"/>
    </xf>
    <xf numFmtId="164" fontId="13" fillId="0" borderId="8" xfId="0" applyNumberFormat="1" applyFont="1" applyBorder="1" applyAlignment="1">
      <alignment horizontal="center" vertical="center"/>
    </xf>
    <xf numFmtId="42" fontId="8" fillId="0" borderId="28" xfId="0" applyNumberFormat="1" applyFont="1" applyBorder="1" applyAlignment="1">
      <alignment horizontal="center" vertical="center"/>
    </xf>
    <xf numFmtId="42" fontId="8" fillId="0" borderId="10" xfId="0" applyNumberFormat="1" applyFont="1" applyBorder="1" applyAlignment="1">
      <alignment horizontal="center" vertical="center"/>
    </xf>
    <xf numFmtId="42" fontId="8" fillId="0" borderId="11" xfId="0" applyNumberFormat="1" applyFont="1" applyBorder="1" applyAlignment="1">
      <alignment horizontal="center" vertical="center"/>
    </xf>
    <xf numFmtId="0" fontId="25" fillId="2" borderId="0" xfId="0" applyFont="1" applyFill="1" applyAlignment="1">
      <alignment horizontal="center" vertical="center"/>
    </xf>
    <xf numFmtId="42" fontId="8" fillId="5" borderId="29" xfId="0" applyNumberFormat="1" applyFont="1" applyFill="1" applyBorder="1" applyAlignment="1">
      <alignment horizontal="center" vertical="center"/>
    </xf>
    <xf numFmtId="9" fontId="21" fillId="3" borderId="84" xfId="0" applyNumberFormat="1" applyFont="1" applyFill="1" applyBorder="1" applyAlignment="1">
      <alignment horizontal="center" vertical="center"/>
    </xf>
    <xf numFmtId="9" fontId="21" fillId="3" borderId="39" xfId="0" applyNumberFormat="1" applyFont="1" applyFill="1" applyBorder="1" applyAlignment="1">
      <alignment horizontal="center" vertical="center"/>
    </xf>
    <xf numFmtId="9" fontId="21" fillId="3" borderId="40" xfId="0" applyNumberFormat="1" applyFont="1" applyFill="1" applyBorder="1" applyAlignment="1">
      <alignment horizontal="center" vertical="center"/>
    </xf>
    <xf numFmtId="42" fontId="8" fillId="0" borderId="8" xfId="1" applyNumberFormat="1" applyFont="1" applyBorder="1" applyAlignment="1">
      <alignment horizontal="center" vertical="center"/>
    </xf>
    <xf numFmtId="42" fontId="13" fillId="8" borderId="16" xfId="0" applyNumberFormat="1" applyFont="1" applyFill="1" applyBorder="1" applyAlignment="1">
      <alignment horizontal="center" vertical="center"/>
    </xf>
    <xf numFmtId="42" fontId="40" fillId="0" borderId="97" xfId="1" applyNumberFormat="1" applyFont="1" applyBorder="1" applyAlignment="1">
      <alignment horizontal="center" vertical="center"/>
    </xf>
    <xf numFmtId="42" fontId="40" fillId="0" borderId="140" xfId="1" applyNumberFormat="1" applyFont="1" applyBorder="1" applyAlignment="1">
      <alignment horizontal="center" vertical="center"/>
    </xf>
    <xf numFmtId="0" fontId="24" fillId="2" borderId="0" xfId="0" applyFont="1" applyFill="1" applyAlignment="1">
      <alignment horizontal="center" vertical="center"/>
    </xf>
    <xf numFmtId="0" fontId="24" fillId="2" borderId="1" xfId="0" applyFont="1" applyFill="1" applyBorder="1" applyAlignment="1">
      <alignment horizontal="center" vertical="center"/>
    </xf>
    <xf numFmtId="164" fontId="12" fillId="0" borderId="10" xfId="0" applyNumberFormat="1" applyFont="1" applyBorder="1" applyAlignment="1">
      <alignment horizontal="center" vertical="center"/>
    </xf>
    <xf numFmtId="164" fontId="12" fillId="0" borderId="11" xfId="0" applyNumberFormat="1" applyFont="1" applyBorder="1" applyAlignment="1">
      <alignment horizontal="center" vertical="center"/>
    </xf>
    <xf numFmtId="0" fontId="25" fillId="0" borderId="0" xfId="0" applyFont="1" applyAlignment="1">
      <alignment horizontal="center" vertical="center"/>
    </xf>
    <xf numFmtId="9" fontId="5" fillId="3" borderId="6" xfId="0" applyNumberFormat="1" applyFont="1" applyFill="1" applyBorder="1" applyAlignment="1">
      <alignment horizontal="center" vertical="center"/>
    </xf>
    <xf numFmtId="9" fontId="5" fillId="3" borderId="3" xfId="0" applyNumberFormat="1" applyFont="1" applyFill="1" applyBorder="1" applyAlignment="1">
      <alignment horizontal="center" vertical="center"/>
    </xf>
    <xf numFmtId="9" fontId="5" fillId="3" borderId="4" xfId="0" applyNumberFormat="1" applyFont="1" applyFill="1" applyBorder="1" applyAlignment="1">
      <alignment horizontal="center" vertical="center"/>
    </xf>
    <xf numFmtId="0" fontId="23" fillId="3" borderId="44" xfId="0" applyFont="1" applyFill="1" applyBorder="1" applyAlignment="1">
      <alignment horizontal="center" vertical="center"/>
    </xf>
    <xf numFmtId="0" fontId="10" fillId="6" borderId="1" xfId="0" applyFont="1" applyFill="1" applyBorder="1" applyAlignment="1">
      <alignment horizontal="center" vertical="center" wrapText="1"/>
    </xf>
    <xf numFmtId="0" fontId="10" fillId="6" borderId="35" xfId="0" applyFont="1" applyFill="1" applyBorder="1" applyAlignment="1">
      <alignment horizontal="center" vertical="center" wrapText="1"/>
    </xf>
    <xf numFmtId="0" fontId="23" fillId="3" borderId="54" xfId="0" applyFont="1" applyFill="1" applyBorder="1" applyAlignment="1">
      <alignment horizontal="center" vertical="center"/>
    </xf>
    <xf numFmtId="0" fontId="23" fillId="3" borderId="38" xfId="0" applyFont="1" applyFill="1" applyBorder="1" applyAlignment="1">
      <alignment horizontal="center" vertical="center"/>
    </xf>
    <xf numFmtId="0" fontId="23" fillId="3" borderId="55" xfId="0" applyFont="1" applyFill="1" applyBorder="1" applyAlignment="1">
      <alignment horizontal="center" vertical="center"/>
    </xf>
    <xf numFmtId="0" fontId="23" fillId="3" borderId="56" xfId="0" applyFont="1" applyFill="1" applyBorder="1" applyAlignment="1">
      <alignment horizontal="center" vertical="center"/>
    </xf>
    <xf numFmtId="0" fontId="12" fillId="0" borderId="66" xfId="0" applyFont="1" applyBorder="1" applyAlignment="1">
      <alignment horizontal="center" vertical="center"/>
    </xf>
    <xf numFmtId="0" fontId="12" fillId="0" borderId="67" xfId="0" applyFont="1" applyBorder="1" applyAlignment="1">
      <alignment horizontal="center" vertical="center"/>
    </xf>
    <xf numFmtId="0" fontId="12" fillId="0" borderId="68" xfId="0" applyFont="1" applyBorder="1" applyAlignment="1">
      <alignment horizontal="center" vertical="center"/>
    </xf>
    <xf numFmtId="9" fontId="27" fillId="3" borderId="44" xfId="0" applyNumberFormat="1" applyFont="1" applyFill="1" applyBorder="1" applyAlignment="1">
      <alignment horizontal="center" vertical="center"/>
    </xf>
    <xf numFmtId="9" fontId="27" fillId="3" borderId="3" xfId="0" applyNumberFormat="1" applyFont="1" applyFill="1" applyBorder="1" applyAlignment="1">
      <alignment horizontal="center" vertical="center"/>
    </xf>
    <xf numFmtId="9" fontId="27" fillId="3" borderId="4" xfId="0" applyNumberFormat="1" applyFont="1" applyFill="1" applyBorder="1" applyAlignment="1">
      <alignment horizontal="center" vertical="center"/>
    </xf>
    <xf numFmtId="9" fontId="21" fillId="3" borderId="6" xfId="0" applyNumberFormat="1" applyFont="1" applyFill="1" applyBorder="1" applyAlignment="1">
      <alignment horizontal="center" vertical="center"/>
    </xf>
    <xf numFmtId="9" fontId="21" fillId="3" borderId="3" xfId="0" applyNumberFormat="1" applyFont="1" applyFill="1" applyBorder="1" applyAlignment="1">
      <alignment horizontal="center" vertical="center"/>
    </xf>
    <xf numFmtId="9" fontId="21" fillId="3" borderId="4" xfId="0" applyNumberFormat="1" applyFont="1" applyFill="1" applyBorder="1" applyAlignment="1">
      <alignment horizontal="center" vertical="center"/>
    </xf>
    <xf numFmtId="42" fontId="8" fillId="0" borderId="8" xfId="1" applyNumberFormat="1" applyFont="1" applyFill="1" applyBorder="1" applyAlignment="1">
      <alignment horizontal="center" vertical="center"/>
    </xf>
    <xf numFmtId="42" fontId="8" fillId="0" borderId="9" xfId="1" applyNumberFormat="1" applyFont="1" applyFill="1" applyBorder="1" applyAlignment="1">
      <alignment horizontal="center" vertical="center"/>
    </xf>
    <xf numFmtId="0" fontId="25" fillId="3" borderId="109" xfId="0" applyFont="1" applyFill="1" applyBorder="1" applyAlignment="1">
      <alignment horizontal="center" vertical="center"/>
    </xf>
    <xf numFmtId="0" fontId="25" fillId="3" borderId="5" xfId="0" applyFont="1" applyFill="1" applyBorder="1" applyAlignment="1">
      <alignment horizontal="center" vertical="center"/>
    </xf>
    <xf numFmtId="42" fontId="13" fillId="8" borderId="8" xfId="0" applyNumberFormat="1" applyFont="1" applyFill="1" applyBorder="1" applyAlignment="1">
      <alignment horizontal="center" vertical="center"/>
    </xf>
    <xf numFmtId="42" fontId="13" fillId="8" borderId="9" xfId="0" applyNumberFormat="1" applyFont="1" applyFill="1" applyBorder="1" applyAlignment="1">
      <alignment horizontal="center" vertical="center"/>
    </xf>
    <xf numFmtId="167" fontId="8" fillId="5" borderId="16" xfId="0" applyNumberFormat="1" applyFont="1" applyFill="1" applyBorder="1" applyAlignment="1">
      <alignment horizontal="center" vertical="center"/>
    </xf>
    <xf numFmtId="0" fontId="13" fillId="0" borderId="64" xfId="0" applyFont="1" applyBorder="1" applyAlignment="1">
      <alignment horizontal="left" vertical="center" indent="1"/>
    </xf>
    <xf numFmtId="0" fontId="13" fillId="0" borderId="0" xfId="0" applyFont="1" applyAlignment="1">
      <alignment horizontal="left" vertical="center" indent="1"/>
    </xf>
    <xf numFmtId="0" fontId="13" fillId="0" borderId="124" xfId="0" applyFont="1" applyBorder="1" applyAlignment="1">
      <alignment horizontal="left" vertical="center" indent="1"/>
    </xf>
    <xf numFmtId="0" fontId="13" fillId="0" borderId="65" xfId="0" applyFont="1" applyBorder="1" applyAlignment="1">
      <alignment horizontal="left" vertical="center" indent="1"/>
    </xf>
    <xf numFmtId="0" fontId="13" fillId="0" borderId="2" xfId="0" applyFont="1" applyBorder="1" applyAlignment="1">
      <alignment horizontal="left" vertical="center" indent="1"/>
    </xf>
    <xf numFmtId="0" fontId="13" fillId="0" borderId="51" xfId="0" applyFont="1" applyBorder="1" applyAlignment="1">
      <alignment horizontal="left" vertical="center" indent="1"/>
    </xf>
    <xf numFmtId="0" fontId="19" fillId="3" borderId="64" xfId="0" applyFont="1" applyFill="1" applyBorder="1" applyAlignment="1">
      <alignment horizontal="center" vertical="center"/>
    </xf>
    <xf numFmtId="0" fontId="19" fillId="3" borderId="0" xfId="0" applyFont="1" applyFill="1" applyAlignment="1">
      <alignment horizontal="center" vertical="center"/>
    </xf>
    <xf numFmtId="167" fontId="13" fillId="0" borderId="138" xfId="1" applyNumberFormat="1" applyFont="1" applyBorder="1" applyAlignment="1">
      <alignment horizontal="center" vertical="center"/>
    </xf>
    <xf numFmtId="167" fontId="13" fillId="0" borderId="139" xfId="1" applyNumberFormat="1" applyFont="1" applyBorder="1" applyAlignment="1">
      <alignment horizontal="center" vertical="center"/>
    </xf>
    <xf numFmtId="167" fontId="13" fillId="0" borderId="97" xfId="1" applyNumberFormat="1" applyFont="1" applyBorder="1" applyAlignment="1">
      <alignment horizontal="center" vertical="center"/>
    </xf>
    <xf numFmtId="167" fontId="13" fillId="0" borderId="140" xfId="1" applyNumberFormat="1" applyFont="1" applyBorder="1" applyAlignment="1">
      <alignment horizontal="center" vertical="center"/>
    </xf>
    <xf numFmtId="167" fontId="8" fillId="0" borderId="97" xfId="1" applyNumberFormat="1" applyFont="1" applyBorder="1" applyAlignment="1">
      <alignment horizontal="center" vertical="center"/>
    </xf>
    <xf numFmtId="167" fontId="8" fillId="0" borderId="140" xfId="1" applyNumberFormat="1" applyFont="1" applyBorder="1" applyAlignment="1">
      <alignment horizontal="center" vertical="center"/>
    </xf>
    <xf numFmtId="167" fontId="13" fillId="0" borderId="141" xfId="1" applyNumberFormat="1" applyFont="1" applyBorder="1" applyAlignment="1">
      <alignment horizontal="center" vertical="center"/>
    </xf>
    <xf numFmtId="167" fontId="13" fillId="0" borderId="142" xfId="1" applyNumberFormat="1" applyFont="1" applyBorder="1" applyAlignment="1">
      <alignment horizontal="center" vertical="center"/>
    </xf>
    <xf numFmtId="9" fontId="5" fillId="3" borderId="64" xfId="0" applyNumberFormat="1" applyFont="1" applyFill="1" applyBorder="1" applyAlignment="1">
      <alignment horizontal="center" vertical="center"/>
    </xf>
    <xf numFmtId="9" fontId="5" fillId="3" borderId="0" xfId="0" applyNumberFormat="1" applyFont="1" applyFill="1" applyAlignment="1">
      <alignment horizontal="center" vertical="center"/>
    </xf>
    <xf numFmtId="167" fontId="38" fillId="0" borderId="132" xfId="0" applyNumberFormat="1" applyFont="1" applyBorder="1" applyAlignment="1">
      <alignment horizontal="center" vertical="center"/>
    </xf>
    <xf numFmtId="167" fontId="38" fillId="0" borderId="133" xfId="0" applyNumberFormat="1" applyFont="1" applyBorder="1" applyAlignment="1">
      <alignment horizontal="center" vertical="center"/>
    </xf>
    <xf numFmtId="167" fontId="8" fillId="11" borderId="134" xfId="0" applyNumberFormat="1" applyFont="1" applyFill="1" applyBorder="1" applyAlignment="1">
      <alignment horizontal="center" vertical="center"/>
    </xf>
    <xf numFmtId="167" fontId="8" fillId="11" borderId="135" xfId="0" applyNumberFormat="1" applyFont="1" applyFill="1" applyBorder="1" applyAlignment="1">
      <alignment horizontal="center" vertical="center"/>
    </xf>
    <xf numFmtId="42" fontId="1" fillId="5" borderId="134" xfId="0" applyNumberFormat="1" applyFont="1" applyFill="1" applyBorder="1" applyAlignment="1">
      <alignment horizontal="center" vertical="center"/>
    </xf>
    <xf numFmtId="42" fontId="1" fillId="5" borderId="135" xfId="0" applyNumberFormat="1" applyFont="1" applyFill="1" applyBorder="1" applyAlignment="1">
      <alignment horizontal="center" vertical="center"/>
    </xf>
    <xf numFmtId="42" fontId="8" fillId="5" borderId="134" xfId="0" applyNumberFormat="1" applyFont="1" applyFill="1" applyBorder="1" applyAlignment="1">
      <alignment horizontal="center" vertical="center"/>
    </xf>
    <xf numFmtId="42" fontId="8" fillId="5" borderId="135" xfId="0" applyNumberFormat="1" applyFont="1" applyFill="1" applyBorder="1" applyAlignment="1">
      <alignment horizontal="center" vertical="center"/>
    </xf>
  </cellXfs>
  <cellStyles count="4">
    <cellStyle name="Comma" xfId="3" builtinId="3"/>
    <cellStyle name="Currency" xfId="1" builtinId="4"/>
    <cellStyle name="Normal" xfId="0" builtinId="0"/>
    <cellStyle name="Percent" xfId="2" builtinId="5"/>
  </cellStyles>
  <dxfs count="0"/>
  <tableStyles count="0" defaultTableStyle="TableStyleMedium9" defaultPivotStyle="PivotStyleLight16"/>
  <colors>
    <mruColors>
      <color rgb="FFFFFF99"/>
      <color rgb="FFFFFFCC"/>
      <color rgb="FF0000CC"/>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0</xdr:rowOff>
    </xdr:from>
    <xdr:to>
      <xdr:col>13</xdr:col>
      <xdr:colOff>556260</xdr:colOff>
      <xdr:row>18</xdr:row>
      <xdr:rowOff>135255</xdr:rowOff>
    </xdr:to>
    <xdr:sp macro="" textlink="">
      <xdr:nvSpPr>
        <xdr:cNvPr id="2" name="TextBox 1">
          <a:extLst>
            <a:ext uri="{FF2B5EF4-FFF2-40B4-BE49-F238E27FC236}">
              <a16:creationId xmlns:a16="http://schemas.microsoft.com/office/drawing/2014/main" id="{30B96B4D-7957-4D44-B7FD-688F04F28B09}"/>
            </a:ext>
          </a:extLst>
        </xdr:cNvPr>
        <xdr:cNvSpPr txBox="1"/>
      </xdr:nvSpPr>
      <xdr:spPr>
        <a:xfrm>
          <a:off x="609600" y="2118360"/>
          <a:ext cx="7871460" cy="15982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Proxima Nova" panose="020B0503030502060204" pitchFamily="34" charset="0"/>
            </a:rPr>
            <a:t>1. Please fill out the </a:t>
          </a:r>
          <a:r>
            <a:rPr lang="en-US" sz="1200" b="1">
              <a:latin typeface="Proxima Nova" panose="020B0503030502060204" pitchFamily="34" charset="0"/>
            </a:rPr>
            <a:t>yellow</a:t>
          </a:r>
          <a:r>
            <a:rPr lang="en-US" sz="1200" baseline="0">
              <a:latin typeface="Proxima Nova" panose="020B0503030502060204" pitchFamily="34" charset="0"/>
            </a:rPr>
            <a:t> input cells with your unique data. For the # services, calculate average based on the number of weeks that you were performing 2, 3, 4 services or just tell me and I'll do it!</a:t>
          </a:r>
        </a:p>
        <a:p>
          <a:endParaRPr lang="en-US" sz="1200">
            <a:latin typeface="Proxima Nova" panose="020B0503030502060204" pitchFamily="34" charset="0"/>
          </a:endParaRPr>
        </a:p>
        <a:p>
          <a:r>
            <a:rPr lang="en-US" sz="1200">
              <a:latin typeface="Proxima Nova" panose="020B0503030502060204" pitchFamily="34" charset="0"/>
            </a:rPr>
            <a:t>2.  For Developco to Predict</a:t>
          </a:r>
          <a:r>
            <a:rPr lang="en-US" sz="1200" baseline="0">
              <a:latin typeface="Proxima Nova" panose="020B0503030502060204" pitchFamily="34" charset="0"/>
            </a:rPr>
            <a:t> future revenue and expenses, for the proposed expansion area, please describe the number of worship seats for adults and the number of children's seats/spaces. I will then predict what that growth will be and you can approve.</a:t>
          </a:r>
          <a:endParaRPr lang="en-US" sz="1200">
            <a:latin typeface="Proxima Nova" panose="020B050303050206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933688</xdr:colOff>
      <xdr:row>25</xdr:row>
      <xdr:rowOff>32786</xdr:rowOff>
    </xdr:from>
    <xdr:to>
      <xdr:col>22</xdr:col>
      <xdr:colOff>338206</xdr:colOff>
      <xdr:row>28</xdr:row>
      <xdr:rowOff>51766</xdr:rowOff>
    </xdr:to>
    <xdr:cxnSp macro="">
      <xdr:nvCxnSpPr>
        <xdr:cNvPr id="9" name="Straight Arrow Connector 8">
          <a:extLst>
            <a:ext uri="{FF2B5EF4-FFF2-40B4-BE49-F238E27FC236}">
              <a16:creationId xmlns:a16="http://schemas.microsoft.com/office/drawing/2014/main" id="{D935E26F-62AB-40EB-91C2-E5637305F207}"/>
            </a:ext>
          </a:extLst>
        </xdr:cNvPr>
        <xdr:cNvCxnSpPr>
          <a:cxnSpLocks/>
          <a:stCxn id="10" idx="3"/>
        </xdr:cNvCxnSpPr>
      </xdr:nvCxnSpPr>
      <xdr:spPr>
        <a:xfrm>
          <a:off x="15093498" y="5861672"/>
          <a:ext cx="350116" cy="481426"/>
        </a:xfrm>
        <a:prstGeom prst="straightConnector1">
          <a:avLst/>
        </a:prstGeom>
        <a:ln>
          <a:solidFill>
            <a:srgbClr val="0000CC"/>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21</xdr:col>
      <xdr:colOff>18309</xdr:colOff>
      <xdr:row>24</xdr:row>
      <xdr:rowOff>44865</xdr:rowOff>
    </xdr:from>
    <xdr:to>
      <xdr:col>21</xdr:col>
      <xdr:colOff>933688</xdr:colOff>
      <xdr:row>26</xdr:row>
      <xdr:rowOff>20707</xdr:rowOff>
    </xdr:to>
    <xdr:sp macro="" textlink="">
      <xdr:nvSpPr>
        <xdr:cNvPr id="10" name="TextBox 9">
          <a:extLst>
            <a:ext uri="{FF2B5EF4-FFF2-40B4-BE49-F238E27FC236}">
              <a16:creationId xmlns:a16="http://schemas.microsoft.com/office/drawing/2014/main" id="{C71D5683-CDB7-4B64-AFBD-8F185B2173C6}"/>
            </a:ext>
          </a:extLst>
        </xdr:cNvPr>
        <xdr:cNvSpPr txBox="1"/>
      </xdr:nvSpPr>
      <xdr:spPr>
        <a:xfrm>
          <a:off x="14178119" y="5683941"/>
          <a:ext cx="915379" cy="355462"/>
        </a:xfrm>
        <a:prstGeom prst="rect">
          <a:avLst/>
        </a:prstGeom>
        <a:noFill/>
        <a:ln w="19050" cmpd="sng">
          <a:solidFill>
            <a:srgbClr val="0000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000"/>
            </a:lnSpc>
          </a:pPr>
          <a:r>
            <a:rPr lang="en-US" sz="1050" b="0">
              <a:solidFill>
                <a:srgbClr val="0000CC"/>
              </a:solidFill>
              <a:latin typeface="Proxima Nova" panose="020B0503030502060204" pitchFamily="34" charset="0"/>
            </a:rPr>
            <a:t>4 new FTE's plus Raises</a:t>
          </a:r>
        </a:p>
      </xdr:txBody>
    </xdr:sp>
    <xdr:clientData/>
  </xdr:twoCellAnchor>
  <xdr:twoCellAnchor editAs="oneCell">
    <xdr:from>
      <xdr:col>0</xdr:col>
      <xdr:colOff>329869</xdr:colOff>
      <xdr:row>0</xdr:row>
      <xdr:rowOff>107206</xdr:rowOff>
    </xdr:from>
    <xdr:to>
      <xdr:col>2</xdr:col>
      <xdr:colOff>239155</xdr:colOff>
      <xdr:row>0</xdr:row>
      <xdr:rowOff>1410192</xdr:rowOff>
    </xdr:to>
    <xdr:sp macro="" textlink="">
      <xdr:nvSpPr>
        <xdr:cNvPr id="1025" name="qMsvPP1UnrjlGM:" descr="Image result for journey church colorado">
          <a:extLst>
            <a:ext uri="{FF2B5EF4-FFF2-40B4-BE49-F238E27FC236}">
              <a16:creationId xmlns:a16="http://schemas.microsoft.com/office/drawing/2014/main" id="{0B0E1C4C-8397-4795-B25F-192536A969D5}"/>
            </a:ext>
          </a:extLst>
        </xdr:cNvPr>
        <xdr:cNvSpPr>
          <a:spLocks noChangeAspect="1" noChangeArrowheads="1"/>
        </xdr:cNvSpPr>
      </xdr:nvSpPr>
      <xdr:spPr bwMode="auto">
        <a:xfrm>
          <a:off x="329869" y="107206"/>
          <a:ext cx="1302987" cy="1302986"/>
        </a:xfrm>
        <a:prstGeom prst="rect">
          <a:avLst/>
        </a:prstGeom>
        <a:noFill/>
        <a:extLst>
          <a:ext uri="{909E8E84-426E-40DD-AFC4-6F175D3DCCD1}">
            <a14:hiddenFill xmlns:a14="http://schemas.microsoft.com/office/drawing/2010/main">
              <a:solidFill>
                <a:srgbClr val="FFFFFF"/>
              </a:solidFill>
            </a14:hiddenFill>
          </a:ext>
        </a:extLst>
      </xdr:spPr>
      <xdr:txBody>
        <a:bodyPr anchor="ctr"/>
        <a:lstStyle/>
        <a:p>
          <a:pPr algn="ctr"/>
          <a:r>
            <a:rPr lang="en-US" sz="1400" b="0">
              <a:latin typeface="Proxima Nova" panose="020B0503030502060204" pitchFamily="34" charset="0"/>
            </a:rPr>
            <a:t>Your</a:t>
          </a:r>
          <a:r>
            <a:rPr lang="en-US" sz="1400" b="0" baseline="0">
              <a:latin typeface="Proxima Nova" panose="020B0503030502060204" pitchFamily="34" charset="0"/>
            </a:rPr>
            <a:t> church's logo here</a:t>
          </a:r>
          <a:endParaRPr lang="en-US" sz="1400" b="0">
            <a:latin typeface="Proxima Nova" panose="020B0503030502060204" pitchFamily="34" charset="0"/>
          </a:endParaRPr>
        </a:p>
      </xdr:txBody>
    </xdr:sp>
    <xdr:clientData/>
  </xdr:twoCellAnchor>
  <xdr:twoCellAnchor>
    <xdr:from>
      <xdr:col>3</xdr:col>
      <xdr:colOff>40105</xdr:colOff>
      <xdr:row>0</xdr:row>
      <xdr:rowOff>43817</xdr:rowOff>
    </xdr:from>
    <xdr:to>
      <xdr:col>23</xdr:col>
      <xdr:colOff>974504</xdr:colOff>
      <xdr:row>0</xdr:row>
      <xdr:rowOff>1266510</xdr:rowOff>
    </xdr:to>
    <xdr:sp macro="" textlink="">
      <xdr:nvSpPr>
        <xdr:cNvPr id="21" name="TextBox 20">
          <a:extLst>
            <a:ext uri="{FF2B5EF4-FFF2-40B4-BE49-F238E27FC236}">
              <a16:creationId xmlns:a16="http://schemas.microsoft.com/office/drawing/2014/main" id="{968D4C9B-5C98-4D05-BF8F-1E5A36D81FFD}"/>
            </a:ext>
          </a:extLst>
        </xdr:cNvPr>
        <xdr:cNvSpPr txBox="1"/>
      </xdr:nvSpPr>
      <xdr:spPr>
        <a:xfrm>
          <a:off x="1819501" y="43817"/>
          <a:ext cx="15302146" cy="12226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ln>
                <a:noFill/>
              </a:ln>
              <a:latin typeface="Proxima Nova" panose="020B0503030502060204" pitchFamily="34" charset="0"/>
            </a:rPr>
            <a:t>Your Church - Historical &amp;</a:t>
          </a:r>
          <a:r>
            <a:rPr lang="en-US" sz="2400" b="1" baseline="0">
              <a:ln>
                <a:noFill/>
              </a:ln>
              <a:latin typeface="Proxima Nova" panose="020B0503030502060204" pitchFamily="34" charset="0"/>
            </a:rPr>
            <a:t> Projected Attendance </a:t>
          </a:r>
          <a:r>
            <a:rPr lang="en-US" sz="2000" b="1" baseline="0">
              <a:ln>
                <a:noFill/>
              </a:ln>
              <a:latin typeface="Proxima Nova" panose="020B0503030502060204" pitchFamily="34" charset="0"/>
            </a:rPr>
            <a:t>and</a:t>
          </a:r>
          <a:r>
            <a:rPr lang="en-US" sz="2400" b="1" baseline="0">
              <a:ln>
                <a:noFill/>
              </a:ln>
              <a:latin typeface="Proxima Nova" panose="020B0503030502060204" pitchFamily="34" charset="0"/>
            </a:rPr>
            <a:t> Giving</a:t>
          </a:r>
        </a:p>
        <a:p>
          <a:pPr algn="ctr"/>
          <a:r>
            <a:rPr lang="en-US" sz="2400" b="1" baseline="0">
              <a:ln>
                <a:noFill/>
              </a:ln>
              <a:latin typeface="Proxima Nova" panose="020B0503030502060204" pitchFamily="34" charset="0"/>
            </a:rPr>
            <a:t>Estimated Future Expenses;  Estimated Debt Capacity </a:t>
          </a:r>
        </a:p>
        <a:p>
          <a:pPr algn="ctr"/>
          <a:r>
            <a:rPr lang="en-US" sz="2000" baseline="0">
              <a:ln>
                <a:noFill/>
              </a:ln>
              <a:latin typeface="Proxima Nova" panose="020B0503030502060204" pitchFamily="34" charset="0"/>
            </a:rPr>
            <a:t>2022-2030</a:t>
          </a:r>
          <a:endParaRPr lang="en-US" sz="2000">
            <a:ln>
              <a:noFill/>
            </a:ln>
            <a:latin typeface="Proxima Nova" panose="020B0503030502060204" pitchFamily="34" charset="0"/>
          </a:endParaRPr>
        </a:p>
      </xdr:txBody>
    </xdr:sp>
    <xdr:clientData/>
  </xdr:twoCellAnchor>
  <xdr:twoCellAnchor>
    <xdr:from>
      <xdr:col>14</xdr:col>
      <xdr:colOff>60389</xdr:colOff>
      <xdr:row>0</xdr:row>
      <xdr:rowOff>1502832</xdr:rowOff>
    </xdr:from>
    <xdr:to>
      <xdr:col>14</xdr:col>
      <xdr:colOff>235328</xdr:colOff>
      <xdr:row>5</xdr:row>
      <xdr:rowOff>183382</xdr:rowOff>
    </xdr:to>
    <xdr:sp macro="" textlink="">
      <xdr:nvSpPr>
        <xdr:cNvPr id="12" name="TextBox 11">
          <a:extLst>
            <a:ext uri="{FF2B5EF4-FFF2-40B4-BE49-F238E27FC236}">
              <a16:creationId xmlns:a16="http://schemas.microsoft.com/office/drawing/2014/main" id="{32F8524E-D693-47B5-B153-5317BAABAD78}"/>
            </a:ext>
          </a:extLst>
        </xdr:cNvPr>
        <xdr:cNvSpPr txBox="1"/>
      </xdr:nvSpPr>
      <xdr:spPr>
        <a:xfrm rot="16200000">
          <a:off x="7703683" y="1852071"/>
          <a:ext cx="873417" cy="174939"/>
        </a:xfrm>
        <a:prstGeom prst="rect">
          <a:avLst/>
        </a:prstGeom>
        <a:noFill/>
        <a:ln w="19050" cmpd="sng">
          <a:solidFill>
            <a:srgbClr val="0000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50" b="1">
              <a:solidFill>
                <a:srgbClr val="0000CC"/>
              </a:solidFill>
              <a:latin typeface="Proxima Nova" panose="020B0503030502060204" pitchFamily="34" charset="0"/>
            </a:rPr>
            <a:t>% Children</a:t>
          </a:r>
        </a:p>
      </xdr:txBody>
    </xdr:sp>
    <xdr:clientData/>
  </xdr:twoCellAnchor>
  <xdr:twoCellAnchor>
    <xdr:from>
      <xdr:col>19</xdr:col>
      <xdr:colOff>940102</xdr:colOff>
      <xdr:row>25</xdr:row>
      <xdr:rowOff>28289</xdr:rowOff>
    </xdr:from>
    <xdr:to>
      <xdr:col>20</xdr:col>
      <xdr:colOff>371475</xdr:colOff>
      <xdr:row>29</xdr:row>
      <xdr:rowOff>47625</xdr:rowOff>
    </xdr:to>
    <xdr:cxnSp macro="">
      <xdr:nvCxnSpPr>
        <xdr:cNvPr id="19" name="Straight Arrow Connector 18">
          <a:extLst>
            <a:ext uri="{FF2B5EF4-FFF2-40B4-BE49-F238E27FC236}">
              <a16:creationId xmlns:a16="http://schemas.microsoft.com/office/drawing/2014/main" id="{4FF4866C-4D17-4046-9A81-D6A1016CD2D6}"/>
            </a:ext>
          </a:extLst>
        </xdr:cNvPr>
        <xdr:cNvCxnSpPr>
          <a:cxnSpLocks/>
          <a:stCxn id="20" idx="3"/>
        </xdr:cNvCxnSpPr>
      </xdr:nvCxnSpPr>
      <xdr:spPr>
        <a:xfrm>
          <a:off x="13206290" y="5818735"/>
          <a:ext cx="387017" cy="666910"/>
        </a:xfrm>
        <a:prstGeom prst="straightConnector1">
          <a:avLst/>
        </a:prstGeom>
        <a:ln>
          <a:solidFill>
            <a:srgbClr val="0000CC"/>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19</xdr:col>
      <xdr:colOff>24723</xdr:colOff>
      <xdr:row>24</xdr:row>
      <xdr:rowOff>40703</xdr:rowOff>
    </xdr:from>
    <xdr:to>
      <xdr:col>19</xdr:col>
      <xdr:colOff>940102</xdr:colOff>
      <xdr:row>26</xdr:row>
      <xdr:rowOff>15875</xdr:rowOff>
    </xdr:to>
    <xdr:sp macro="" textlink="">
      <xdr:nvSpPr>
        <xdr:cNvPr id="20" name="TextBox 19">
          <a:extLst>
            <a:ext uri="{FF2B5EF4-FFF2-40B4-BE49-F238E27FC236}">
              <a16:creationId xmlns:a16="http://schemas.microsoft.com/office/drawing/2014/main" id="{5980E914-A041-42C3-9E80-3F92DBA5C159}"/>
            </a:ext>
          </a:extLst>
        </xdr:cNvPr>
        <xdr:cNvSpPr txBox="1"/>
      </xdr:nvSpPr>
      <xdr:spPr>
        <a:xfrm>
          <a:off x="12290911" y="5642535"/>
          <a:ext cx="915379" cy="352399"/>
        </a:xfrm>
        <a:prstGeom prst="rect">
          <a:avLst/>
        </a:prstGeom>
        <a:noFill/>
        <a:ln w="19050" cmpd="sng">
          <a:solidFill>
            <a:srgbClr val="0000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000"/>
            </a:lnSpc>
          </a:pPr>
          <a:r>
            <a:rPr lang="en-US" sz="1050" b="0">
              <a:solidFill>
                <a:srgbClr val="0000CC"/>
              </a:solidFill>
              <a:latin typeface="Proxima Nova" panose="020B0503030502060204" pitchFamily="34" charset="0"/>
            </a:rPr>
            <a:t>Based on Attendance</a:t>
          </a:r>
        </a:p>
      </xdr:txBody>
    </xdr:sp>
    <xdr:clientData/>
  </xdr:twoCellAnchor>
  <xdr:twoCellAnchor>
    <xdr:from>
      <xdr:col>1</xdr:col>
      <xdr:colOff>5474</xdr:colOff>
      <xdr:row>11</xdr:row>
      <xdr:rowOff>16422</xdr:rowOff>
    </xdr:from>
    <xdr:to>
      <xdr:col>13</xdr:col>
      <xdr:colOff>613103</xdr:colOff>
      <xdr:row>12</xdr:row>
      <xdr:rowOff>175172</xdr:rowOff>
    </xdr:to>
    <xdr:sp macro="" textlink="">
      <xdr:nvSpPr>
        <xdr:cNvPr id="47" name="Rectangle 46">
          <a:extLst>
            <a:ext uri="{FF2B5EF4-FFF2-40B4-BE49-F238E27FC236}">
              <a16:creationId xmlns:a16="http://schemas.microsoft.com/office/drawing/2014/main" id="{4722C57C-07DF-6DD3-6EEF-8EFB8654A638}"/>
            </a:ext>
          </a:extLst>
        </xdr:cNvPr>
        <xdr:cNvSpPr/>
      </xdr:nvSpPr>
      <xdr:spPr>
        <a:xfrm>
          <a:off x="766379" y="3377543"/>
          <a:ext cx="7187543" cy="350345"/>
        </a:xfrm>
        <a:prstGeom prst="rect">
          <a:avLst/>
        </a:prstGeom>
        <a:noFill/>
        <a:ln w="12700">
          <a:solidFill>
            <a:srgbClr val="92D05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32</a:t>
          </a:r>
        </a:p>
      </xdr:txBody>
    </xdr:sp>
    <xdr:clientData/>
  </xdr:twoCellAnchor>
  <xdr:twoCellAnchor>
    <xdr:from>
      <xdr:col>10</xdr:col>
      <xdr:colOff>337916</xdr:colOff>
      <xdr:row>0</xdr:row>
      <xdr:rowOff>1113990</xdr:rowOff>
    </xdr:from>
    <xdr:to>
      <xdr:col>13</xdr:col>
      <xdr:colOff>500299</xdr:colOff>
      <xdr:row>0</xdr:row>
      <xdr:rowOff>1439345</xdr:rowOff>
    </xdr:to>
    <xdr:grpSp>
      <xdr:nvGrpSpPr>
        <xdr:cNvPr id="2" name="Group 1">
          <a:extLst>
            <a:ext uri="{FF2B5EF4-FFF2-40B4-BE49-F238E27FC236}">
              <a16:creationId xmlns:a16="http://schemas.microsoft.com/office/drawing/2014/main" id="{95C58704-474A-96B6-CD2F-BE8DD610B4E8}"/>
            </a:ext>
          </a:extLst>
        </xdr:cNvPr>
        <xdr:cNvGrpSpPr/>
      </xdr:nvGrpSpPr>
      <xdr:grpSpPr>
        <a:xfrm>
          <a:off x="5708202" y="1113990"/>
          <a:ext cx="2149026" cy="325355"/>
          <a:chOff x="14177476" y="1179964"/>
          <a:chExt cx="2148165" cy="325355"/>
        </a:xfrm>
      </xdr:grpSpPr>
      <xdr:sp macro="" textlink="">
        <xdr:nvSpPr>
          <xdr:cNvPr id="3" name="Rectangle 2">
            <a:extLst>
              <a:ext uri="{FF2B5EF4-FFF2-40B4-BE49-F238E27FC236}">
                <a16:creationId xmlns:a16="http://schemas.microsoft.com/office/drawing/2014/main" id="{00000000-0008-0000-0000-000003000000}"/>
              </a:ext>
            </a:extLst>
          </xdr:cNvPr>
          <xdr:cNvSpPr/>
        </xdr:nvSpPr>
        <xdr:spPr>
          <a:xfrm>
            <a:off x="14177476" y="1254507"/>
            <a:ext cx="636763" cy="174301"/>
          </a:xfrm>
          <a:prstGeom prst="rect">
            <a:avLst/>
          </a:prstGeom>
          <a:solidFill>
            <a:srgbClr val="FFFFCC"/>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6" name="TextBox 45">
            <a:extLst>
              <a:ext uri="{FF2B5EF4-FFF2-40B4-BE49-F238E27FC236}">
                <a16:creationId xmlns:a16="http://schemas.microsoft.com/office/drawing/2014/main" id="{596E2A8D-F96D-3581-58F9-A17FB87B6739}"/>
              </a:ext>
            </a:extLst>
          </xdr:cNvPr>
          <xdr:cNvSpPr txBox="1"/>
        </xdr:nvSpPr>
        <xdr:spPr>
          <a:xfrm>
            <a:off x="14824266" y="1179964"/>
            <a:ext cx="1501375" cy="325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sz="1200" b="1">
                <a:latin typeface="Proxima Nova" panose="020B0503030502060204" pitchFamily="34" charset="0"/>
              </a:rPr>
              <a:t>Denotes Input</a:t>
            </a:r>
            <a:r>
              <a:rPr lang="en-US" sz="1200" b="1" baseline="0">
                <a:latin typeface="Proxima Nova" panose="020B0503030502060204" pitchFamily="34" charset="0"/>
              </a:rPr>
              <a:t> Cell</a:t>
            </a:r>
            <a:endParaRPr lang="en-US" sz="1200" b="1">
              <a:latin typeface="Proxima Nova" panose="020B0503030502060204" pitchFamily="34" charset="0"/>
            </a:endParaRPr>
          </a:p>
        </xdr:txBody>
      </xdr:sp>
    </xdr:grpSp>
    <xdr:clientData/>
  </xdr:twoCellAnchor>
  <xdr:twoCellAnchor>
    <xdr:from>
      <xdr:col>16</xdr:col>
      <xdr:colOff>1079500</xdr:colOff>
      <xdr:row>23</xdr:row>
      <xdr:rowOff>91281</xdr:rowOff>
    </xdr:from>
    <xdr:to>
      <xdr:col>17</xdr:col>
      <xdr:colOff>145125</xdr:colOff>
      <xdr:row>32</xdr:row>
      <xdr:rowOff>107207</xdr:rowOff>
    </xdr:to>
    <xdr:grpSp>
      <xdr:nvGrpSpPr>
        <xdr:cNvPr id="48" name="Group 47">
          <a:extLst>
            <a:ext uri="{FF2B5EF4-FFF2-40B4-BE49-F238E27FC236}">
              <a16:creationId xmlns:a16="http://schemas.microsoft.com/office/drawing/2014/main" id="{42BEDECE-2A3F-CAEB-73A5-E7F3E6870316}"/>
            </a:ext>
          </a:extLst>
        </xdr:cNvPr>
        <xdr:cNvGrpSpPr/>
      </xdr:nvGrpSpPr>
      <xdr:grpSpPr>
        <a:xfrm>
          <a:off x="10250714" y="5851638"/>
          <a:ext cx="208625" cy="1621569"/>
          <a:chOff x="10231878" y="5823920"/>
          <a:chExt cx="207744" cy="1616655"/>
        </a:xfrm>
      </xdr:grpSpPr>
      <xdr:cxnSp macro="">
        <xdr:nvCxnSpPr>
          <xdr:cNvPr id="35" name="Straight Connector 34">
            <a:extLst>
              <a:ext uri="{FF2B5EF4-FFF2-40B4-BE49-F238E27FC236}">
                <a16:creationId xmlns:a16="http://schemas.microsoft.com/office/drawing/2014/main" id="{D44686BB-FC7B-4CC1-9E0F-DB981B117091}"/>
              </a:ext>
            </a:extLst>
          </xdr:cNvPr>
          <xdr:cNvCxnSpPr/>
        </xdr:nvCxnSpPr>
        <xdr:spPr>
          <a:xfrm flipH="1">
            <a:off x="10435608" y="5823920"/>
            <a:ext cx="1764" cy="161665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Straight Arrow Connector 40">
            <a:extLst>
              <a:ext uri="{FF2B5EF4-FFF2-40B4-BE49-F238E27FC236}">
                <a16:creationId xmlns:a16="http://schemas.microsoft.com/office/drawing/2014/main" id="{8EA66429-2C56-C9DA-62B8-9BAA6055387C}"/>
              </a:ext>
            </a:extLst>
          </xdr:cNvPr>
          <xdr:cNvCxnSpPr/>
        </xdr:nvCxnSpPr>
        <xdr:spPr>
          <a:xfrm flipH="1">
            <a:off x="10231878" y="5825904"/>
            <a:ext cx="20351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5" name="Straight Arrow Connector 44">
            <a:extLst>
              <a:ext uri="{FF2B5EF4-FFF2-40B4-BE49-F238E27FC236}">
                <a16:creationId xmlns:a16="http://schemas.microsoft.com/office/drawing/2014/main" id="{584AC47A-44FB-46F3-8D8E-1E9CE573EA4A}"/>
              </a:ext>
            </a:extLst>
          </xdr:cNvPr>
          <xdr:cNvCxnSpPr/>
        </xdr:nvCxnSpPr>
        <xdr:spPr>
          <a:xfrm flipH="1">
            <a:off x="10236112" y="7435276"/>
            <a:ext cx="20351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11</xdr:row>
      <xdr:rowOff>0</xdr:rowOff>
    </xdr:from>
    <xdr:to>
      <xdr:col>5</xdr:col>
      <xdr:colOff>304800</xdr:colOff>
      <xdr:row>12</xdr:row>
      <xdr:rowOff>114300</xdr:rowOff>
    </xdr:to>
    <xdr:sp macro="" textlink="">
      <xdr:nvSpPr>
        <xdr:cNvPr id="2049" name="qMsvPP1UnrjlGM:" descr="Image result for journey church colorado">
          <a:extLst>
            <a:ext uri="{FF2B5EF4-FFF2-40B4-BE49-F238E27FC236}">
              <a16:creationId xmlns:a16="http://schemas.microsoft.com/office/drawing/2014/main" id="{F1871C71-6028-440E-8F3A-DD1116256B92}"/>
            </a:ext>
          </a:extLst>
        </xdr:cNvPr>
        <xdr:cNvSpPr>
          <a:spLocks noChangeAspect="1" noChangeArrowheads="1"/>
        </xdr:cNvSpPr>
      </xdr:nvSpPr>
      <xdr:spPr bwMode="auto">
        <a:xfrm>
          <a:off x="8391525" y="5534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142876</xdr:colOff>
      <xdr:row>0</xdr:row>
      <xdr:rowOff>104775</xdr:rowOff>
    </xdr:from>
    <xdr:to>
      <xdr:col>1</xdr:col>
      <xdr:colOff>5915026</xdr:colOff>
      <xdr:row>1</xdr:row>
      <xdr:rowOff>0</xdr:rowOff>
    </xdr:to>
    <xdr:sp macro="" textlink="">
      <xdr:nvSpPr>
        <xdr:cNvPr id="4" name="TextBox 3">
          <a:extLst>
            <a:ext uri="{FF2B5EF4-FFF2-40B4-BE49-F238E27FC236}">
              <a16:creationId xmlns:a16="http://schemas.microsoft.com/office/drawing/2014/main" id="{6655DA6E-3EFA-4A55-BCD9-EA0E709755A5}"/>
            </a:ext>
          </a:extLst>
        </xdr:cNvPr>
        <xdr:cNvSpPr txBox="1"/>
      </xdr:nvSpPr>
      <xdr:spPr>
        <a:xfrm>
          <a:off x="771526" y="104775"/>
          <a:ext cx="5772150" cy="666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800">
              <a:latin typeface="Proxima Nova" panose="020B0503030502060204" pitchFamily="34" charset="0"/>
            </a:rPr>
            <a:t>Notes</a:t>
          </a:r>
          <a:r>
            <a:rPr lang="en-US" sz="1800" baseline="0">
              <a:latin typeface="Proxima Nova" panose="020B0503030502060204" pitchFamily="34" charset="0"/>
            </a:rPr>
            <a:t> to Income Projection Spreadsheet</a:t>
          </a:r>
          <a:endParaRPr lang="en-US" sz="1800">
            <a:latin typeface="Proxima Nova" panose="020B050303050206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75679-9FD7-4490-8188-937A344CEFEA}">
  <dimension ref="B2:N21"/>
  <sheetViews>
    <sheetView workbookViewId="0">
      <selection activeCell="M10" sqref="M10"/>
    </sheetView>
  </sheetViews>
  <sheetFormatPr defaultRowHeight="14.5" x14ac:dyDescent="0.35"/>
  <cols>
    <col min="1" max="1" width="3.08984375" customWidth="1"/>
    <col min="3" max="3" width="7.6328125" customWidth="1"/>
    <col min="4" max="4" width="8.54296875" customWidth="1"/>
    <col min="13" max="13" width="13.36328125" customWidth="1"/>
  </cols>
  <sheetData>
    <row r="2" spans="2:14" ht="21.5" x14ac:dyDescent="0.35">
      <c r="B2" s="348" t="s">
        <v>81</v>
      </c>
      <c r="C2" s="349"/>
      <c r="D2" s="349"/>
      <c r="E2" s="349"/>
      <c r="F2" s="349"/>
      <c r="G2" s="349"/>
      <c r="H2" s="349"/>
      <c r="I2" s="349"/>
      <c r="J2" s="349"/>
      <c r="K2" s="349"/>
      <c r="L2" s="349"/>
      <c r="M2" s="349"/>
      <c r="N2" s="350"/>
    </row>
    <row r="3" spans="2:14" ht="6" customHeight="1" x14ac:dyDescent="0.35">
      <c r="B3" s="177"/>
      <c r="C3" s="61"/>
      <c r="D3" s="61"/>
      <c r="E3" s="61"/>
      <c r="F3" s="2"/>
      <c r="G3" s="2"/>
      <c r="H3" s="2"/>
      <c r="I3" s="2"/>
      <c r="J3" s="2"/>
      <c r="K3" s="2"/>
      <c r="L3" s="2"/>
      <c r="M3" s="2"/>
      <c r="N3" s="178"/>
    </row>
    <row r="4" spans="2:14" x14ac:dyDescent="0.35">
      <c r="B4" s="179" t="s">
        <v>46</v>
      </c>
      <c r="C4" s="65" t="s">
        <v>29</v>
      </c>
      <c r="D4" s="65" t="s">
        <v>39</v>
      </c>
      <c r="E4" s="65" t="s">
        <v>31</v>
      </c>
      <c r="F4" s="67" t="s">
        <v>32</v>
      </c>
      <c r="G4" s="67" t="s">
        <v>35</v>
      </c>
      <c r="H4" s="67" t="s">
        <v>34</v>
      </c>
      <c r="I4" s="75" t="s">
        <v>31</v>
      </c>
      <c r="J4" s="65" t="s">
        <v>32</v>
      </c>
      <c r="K4" s="65" t="s">
        <v>34</v>
      </c>
      <c r="L4" s="65" t="s">
        <v>32</v>
      </c>
      <c r="M4" s="351" t="s">
        <v>51</v>
      </c>
      <c r="N4" s="352" t="s">
        <v>43</v>
      </c>
    </row>
    <row r="5" spans="2:14" x14ac:dyDescent="0.35">
      <c r="B5" s="180" t="s">
        <v>6</v>
      </c>
      <c r="C5" s="66" t="s">
        <v>28</v>
      </c>
      <c r="D5" s="66" t="s">
        <v>27</v>
      </c>
      <c r="E5" s="66" t="s">
        <v>27</v>
      </c>
      <c r="F5" s="68" t="s">
        <v>30</v>
      </c>
      <c r="G5" s="68" t="s">
        <v>33</v>
      </c>
      <c r="H5" s="74" t="s">
        <v>27</v>
      </c>
      <c r="I5" s="76" t="s">
        <v>34</v>
      </c>
      <c r="J5" s="66" t="s">
        <v>34</v>
      </c>
      <c r="K5" s="65" t="s">
        <v>33</v>
      </c>
      <c r="L5" s="65" t="s">
        <v>36</v>
      </c>
      <c r="M5" s="351"/>
      <c r="N5" s="353"/>
    </row>
    <row r="6" spans="2:14" ht="5.4" customHeight="1" x14ac:dyDescent="0.35">
      <c r="B6" s="181"/>
      <c r="C6" s="158"/>
      <c r="D6" s="159"/>
      <c r="E6" s="159"/>
      <c r="F6" s="83"/>
      <c r="G6" s="160"/>
      <c r="H6" s="159"/>
      <c r="I6" s="83"/>
      <c r="J6" s="83"/>
      <c r="K6" s="84"/>
      <c r="L6" s="85"/>
      <c r="M6" s="101"/>
      <c r="N6" s="182"/>
    </row>
    <row r="7" spans="2:14" ht="15" x14ac:dyDescent="0.35">
      <c r="B7" s="183">
        <v>2022</v>
      </c>
      <c r="C7" s="86">
        <v>2</v>
      </c>
      <c r="D7" s="171">
        <v>290</v>
      </c>
      <c r="E7" s="87">
        <f>C7*D7</f>
        <v>580</v>
      </c>
      <c r="F7" s="164">
        <v>280</v>
      </c>
      <c r="G7" s="165">
        <f>F7/E7</f>
        <v>0.48275862068965519</v>
      </c>
      <c r="H7" s="171">
        <v>70</v>
      </c>
      <c r="I7" s="88">
        <f>C7*H7</f>
        <v>140</v>
      </c>
      <c r="J7" s="164">
        <v>60</v>
      </c>
      <c r="K7" s="166">
        <f>J7/I7</f>
        <v>0.42857142857142855</v>
      </c>
      <c r="L7" s="167">
        <f>F7+J7</f>
        <v>340</v>
      </c>
      <c r="M7" s="168">
        <v>845024</v>
      </c>
      <c r="N7" s="184">
        <f>M7/L7</f>
        <v>2485.3647058823531</v>
      </c>
    </row>
    <row r="8" spans="2:14" ht="15" x14ac:dyDescent="0.35">
      <c r="B8" s="185">
        <v>2023</v>
      </c>
      <c r="C8" s="97">
        <v>2</v>
      </c>
      <c r="D8" s="98">
        <f>D7</f>
        <v>290</v>
      </c>
      <c r="E8" s="87">
        <f t="shared" ref="E8:E9" si="0">C8*D8</f>
        <v>580</v>
      </c>
      <c r="F8" s="161">
        <v>425</v>
      </c>
      <c r="G8" s="165">
        <f t="shared" ref="G8:G9" si="1">F8/E8</f>
        <v>0.73275862068965514</v>
      </c>
      <c r="H8" s="98">
        <f>H7</f>
        <v>70</v>
      </c>
      <c r="I8" s="100">
        <f t="shared" ref="I8:I9" si="2">C8*H8</f>
        <v>140</v>
      </c>
      <c r="J8" s="161">
        <v>82</v>
      </c>
      <c r="K8" s="166">
        <f t="shared" ref="K8:K9" si="3">J8/I8</f>
        <v>0.58571428571428574</v>
      </c>
      <c r="L8" s="167">
        <f>F8+J8</f>
        <v>507</v>
      </c>
      <c r="M8" s="163">
        <v>997722</v>
      </c>
      <c r="N8" s="184">
        <f>M8/L8</f>
        <v>1967.8934911242604</v>
      </c>
    </row>
    <row r="9" spans="2:14" ht="15" x14ac:dyDescent="0.35">
      <c r="B9" s="216">
        <v>2024</v>
      </c>
      <c r="C9" s="186">
        <v>2</v>
      </c>
      <c r="D9" s="187">
        <f>D7</f>
        <v>290</v>
      </c>
      <c r="E9" s="187">
        <f t="shared" si="0"/>
        <v>580</v>
      </c>
      <c r="F9" s="188">
        <v>498</v>
      </c>
      <c r="G9" s="189">
        <f t="shared" si="1"/>
        <v>0.85862068965517246</v>
      </c>
      <c r="H9" s="187">
        <f>H7</f>
        <v>70</v>
      </c>
      <c r="I9" s="190">
        <f t="shared" si="2"/>
        <v>140</v>
      </c>
      <c r="J9" s="188">
        <v>99</v>
      </c>
      <c r="K9" s="191">
        <f t="shared" si="3"/>
        <v>0.70714285714285718</v>
      </c>
      <c r="L9" s="192">
        <f>F9+J9</f>
        <v>597</v>
      </c>
      <c r="M9" s="217">
        <v>1450696</v>
      </c>
      <c r="N9" s="218">
        <f>M9/L9</f>
        <v>2429.9765494137355</v>
      </c>
    </row>
    <row r="21" spans="2:4" ht="16" x14ac:dyDescent="0.4">
      <c r="B21" s="208" t="s">
        <v>50</v>
      </c>
      <c r="D21" t="s">
        <v>52</v>
      </c>
    </row>
  </sheetData>
  <mergeCells count="3">
    <mergeCell ref="B2:N2"/>
    <mergeCell ref="M4:M5"/>
    <mergeCell ref="N4:N5"/>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5"/>
  <sheetViews>
    <sheetView showGridLines="0" tabSelected="1" zoomScale="70" zoomScaleNormal="70" workbookViewId="0">
      <selection activeCell="Y1" sqref="Y1"/>
    </sheetView>
  </sheetViews>
  <sheetFormatPr defaultColWidth="9.08984375" defaultRowHeight="15" x14ac:dyDescent="0.35"/>
  <cols>
    <col min="1" max="1" width="10.90625" style="2" customWidth="1"/>
    <col min="2" max="2" width="9.08984375" style="2" customWidth="1"/>
    <col min="3" max="3" width="5.453125" style="2" customWidth="1"/>
    <col min="4" max="4" width="7" style="2" customWidth="1"/>
    <col min="5" max="10" width="7.36328125" style="2" customWidth="1"/>
    <col min="11" max="11" width="7.54296875" style="2" customWidth="1"/>
    <col min="12" max="12" width="7.36328125" style="2" customWidth="1"/>
    <col min="13" max="13" width="13.54296875" style="2" customWidth="1"/>
    <col min="14" max="14" width="9" style="2" customWidth="1"/>
    <col min="15" max="15" width="4.36328125" style="2" customWidth="1"/>
    <col min="16" max="16" width="12.6328125" style="2" customWidth="1"/>
    <col min="17" max="17" width="16.36328125" style="2" customWidth="1"/>
    <col min="18" max="18" width="14.36328125" style="2" customWidth="1"/>
    <col min="19" max="21" width="13.6328125" style="2" customWidth="1"/>
    <col min="22" max="22" width="13.54296875" style="2" customWidth="1"/>
    <col min="23" max="23" width="14.36328125" style="2" customWidth="1"/>
    <col min="24" max="24" width="14" style="2" customWidth="1"/>
    <col min="25" max="35" width="14.6328125" style="2" customWidth="1"/>
    <col min="36" max="16384" width="9.08984375" style="2"/>
  </cols>
  <sheetData>
    <row r="1" spans="1:25" ht="119.25" customHeight="1" thickBot="1" x14ac:dyDescent="0.4">
      <c r="B1"/>
      <c r="W1" s="304"/>
    </row>
    <row r="2" spans="1:25" ht="24" customHeight="1" x14ac:dyDescent="0.35">
      <c r="A2" s="368" t="s">
        <v>7</v>
      </c>
      <c r="B2" s="419" t="s">
        <v>38</v>
      </c>
      <c r="C2" s="420"/>
      <c r="D2" s="420"/>
      <c r="E2" s="420"/>
      <c r="F2" s="420"/>
      <c r="G2" s="420"/>
      <c r="H2" s="420"/>
      <c r="I2" s="420"/>
      <c r="J2" s="420"/>
      <c r="K2" s="420"/>
      <c r="L2" s="420"/>
      <c r="M2" s="420"/>
      <c r="N2" s="421"/>
      <c r="P2" s="368" t="s">
        <v>85</v>
      </c>
      <c r="Q2" s="422" t="s">
        <v>82</v>
      </c>
      <c r="R2" s="366"/>
      <c r="S2" s="366"/>
      <c r="T2" s="366"/>
      <c r="U2" s="387" t="s">
        <v>8</v>
      </c>
      <c r="V2" s="365" t="s">
        <v>83</v>
      </c>
      <c r="W2" s="366"/>
      <c r="X2" s="366"/>
      <c r="Y2" s="367"/>
    </row>
    <row r="3" spans="1:25" ht="1.5" customHeight="1" thickBot="1" x14ac:dyDescent="0.4">
      <c r="A3" s="369"/>
      <c r="B3" s="63"/>
      <c r="C3" s="61"/>
      <c r="D3" s="61"/>
      <c r="E3" s="61"/>
      <c r="N3" s="3"/>
      <c r="P3" s="369"/>
      <c r="Q3" s="16"/>
      <c r="U3" s="387"/>
      <c r="V3" s="325"/>
      <c r="Y3" s="3"/>
    </row>
    <row r="4" spans="1:25" ht="14" customHeight="1" x14ac:dyDescent="0.35">
      <c r="A4" s="369"/>
      <c r="B4" s="104" t="s">
        <v>46</v>
      </c>
      <c r="C4" s="65" t="s">
        <v>29</v>
      </c>
      <c r="D4" s="65" t="s">
        <v>39</v>
      </c>
      <c r="E4" s="65" t="s">
        <v>31</v>
      </c>
      <c r="F4" s="67" t="s">
        <v>32</v>
      </c>
      <c r="G4" s="67" t="s">
        <v>35</v>
      </c>
      <c r="H4" s="67" t="s">
        <v>34</v>
      </c>
      <c r="I4" s="75" t="s">
        <v>31</v>
      </c>
      <c r="J4" s="65" t="s">
        <v>32</v>
      </c>
      <c r="K4" s="65" t="s">
        <v>34</v>
      </c>
      <c r="L4" s="65" t="s">
        <v>32</v>
      </c>
      <c r="M4" s="351" t="s">
        <v>68</v>
      </c>
      <c r="N4" s="423" t="s">
        <v>53</v>
      </c>
      <c r="P4" s="369"/>
      <c r="Q4" s="71" t="s">
        <v>59</v>
      </c>
      <c r="R4" s="57" t="s">
        <v>72</v>
      </c>
      <c r="S4" s="57" t="s">
        <v>17</v>
      </c>
      <c r="T4" s="57" t="s">
        <v>56</v>
      </c>
      <c r="U4" s="387"/>
      <c r="V4" s="57" t="s">
        <v>37</v>
      </c>
      <c r="W4" s="57" t="s">
        <v>16</v>
      </c>
      <c r="X4" s="57" t="s">
        <v>17</v>
      </c>
      <c r="Y4" s="277" t="s">
        <v>18</v>
      </c>
    </row>
    <row r="5" spans="1:25" ht="14.4" customHeight="1" x14ac:dyDescent="0.35">
      <c r="A5" s="369"/>
      <c r="B5" s="118" t="s">
        <v>6</v>
      </c>
      <c r="C5" s="66" t="s">
        <v>28</v>
      </c>
      <c r="D5" s="66" t="s">
        <v>27</v>
      </c>
      <c r="E5" s="66" t="s">
        <v>27</v>
      </c>
      <c r="F5" s="68" t="s">
        <v>30</v>
      </c>
      <c r="G5" s="68" t="s">
        <v>33</v>
      </c>
      <c r="H5" s="74" t="s">
        <v>27</v>
      </c>
      <c r="I5" s="76" t="s">
        <v>34</v>
      </c>
      <c r="J5" s="66" t="s">
        <v>34</v>
      </c>
      <c r="K5" s="65" t="s">
        <v>33</v>
      </c>
      <c r="L5" s="65" t="s">
        <v>36</v>
      </c>
      <c r="M5" s="351"/>
      <c r="N5" s="424"/>
      <c r="P5" s="369"/>
      <c r="Q5" s="236" t="s">
        <v>55</v>
      </c>
      <c r="R5" s="317">
        <v>9000</v>
      </c>
      <c r="S5" s="237">
        <f>T5/R5</f>
        <v>6.666666666666667</v>
      </c>
      <c r="T5" s="321">
        <v>60000</v>
      </c>
      <c r="U5" s="387"/>
      <c r="V5" s="326">
        <v>400</v>
      </c>
      <c r="W5" s="334">
        <f>V5*50</f>
        <v>20000</v>
      </c>
      <c r="X5" s="228">
        <v>450</v>
      </c>
      <c r="Y5" s="335">
        <f>W5*X5</f>
        <v>9000000</v>
      </c>
    </row>
    <row r="6" spans="1:25" ht="15" customHeight="1" x14ac:dyDescent="0.35">
      <c r="A6" s="369"/>
      <c r="B6" s="429" t="s">
        <v>66</v>
      </c>
      <c r="C6" s="430"/>
      <c r="D6" s="430"/>
      <c r="E6" s="430"/>
      <c r="F6" s="430"/>
      <c r="G6" s="430"/>
      <c r="H6" s="431"/>
      <c r="I6" s="83"/>
      <c r="J6" s="83"/>
      <c r="K6" s="84"/>
      <c r="L6" s="85"/>
      <c r="M6" s="101"/>
      <c r="N6" s="117"/>
      <c r="P6" s="369"/>
      <c r="Q6" s="238" t="s">
        <v>57</v>
      </c>
      <c r="R6" s="318">
        <v>4000</v>
      </c>
      <c r="S6" s="239">
        <f>T6/R6</f>
        <v>6.25</v>
      </c>
      <c r="T6" s="322">
        <v>25000</v>
      </c>
      <c r="U6" s="387"/>
      <c r="V6" s="55" t="s">
        <v>19</v>
      </c>
      <c r="W6" s="55" t="s">
        <v>65</v>
      </c>
      <c r="X6" s="55" t="s">
        <v>21</v>
      </c>
      <c r="Y6" s="56" t="s">
        <v>20</v>
      </c>
    </row>
    <row r="7" spans="1:25" ht="15" customHeight="1" x14ac:dyDescent="0.35">
      <c r="A7" s="369"/>
      <c r="B7" s="173">
        <v>2022</v>
      </c>
      <c r="C7" s="172">
        <v>2</v>
      </c>
      <c r="D7" s="174">
        <f>Attendance!D7</f>
        <v>290</v>
      </c>
      <c r="E7" s="174">
        <f>Attendance!E7</f>
        <v>580</v>
      </c>
      <c r="F7" s="175">
        <f>Attendance!F7</f>
        <v>280</v>
      </c>
      <c r="G7" s="166">
        <f>Attendance!G7</f>
        <v>0.48275862068965519</v>
      </c>
      <c r="H7" s="174">
        <f>Attendance!H7</f>
        <v>70</v>
      </c>
      <c r="I7" s="174">
        <f>Attendance!I7</f>
        <v>140</v>
      </c>
      <c r="J7" s="175">
        <f>Attendance!J7</f>
        <v>60</v>
      </c>
      <c r="K7" s="166">
        <f>Attendance!K7</f>
        <v>0.42857142857142855</v>
      </c>
      <c r="L7" s="175">
        <f>Attendance!L7</f>
        <v>340</v>
      </c>
      <c r="M7" s="89">
        <f>Attendance!M7</f>
        <v>845024</v>
      </c>
      <c r="N7" s="176">
        <f>Attendance!N7</f>
        <v>2485.3647058823531</v>
      </c>
      <c r="O7" s="201">
        <f>J7/L7</f>
        <v>0.17647058823529413</v>
      </c>
      <c r="P7" s="369"/>
      <c r="Q7" s="240" t="s">
        <v>58</v>
      </c>
      <c r="R7" s="319">
        <v>3000</v>
      </c>
      <c r="S7" s="239">
        <f>T7/R7</f>
        <v>6.666666666666667</v>
      </c>
      <c r="T7" s="323">
        <v>20000</v>
      </c>
      <c r="U7" s="387"/>
      <c r="V7" s="327">
        <v>7.7499999999999999E-2</v>
      </c>
      <c r="W7" s="242">
        <v>0.5</v>
      </c>
      <c r="X7" s="333">
        <f>W7*Y5</f>
        <v>4500000</v>
      </c>
      <c r="Y7" s="336">
        <f>Y5-X7</f>
        <v>4500000</v>
      </c>
    </row>
    <row r="8" spans="1:25" ht="15.75" customHeight="1" thickBot="1" x14ac:dyDescent="0.4">
      <c r="A8" s="369"/>
      <c r="B8" s="115">
        <f>B7+1</f>
        <v>2023</v>
      </c>
      <c r="C8" s="172">
        <v>2</v>
      </c>
      <c r="D8" s="174">
        <f>Attendance!D8</f>
        <v>290</v>
      </c>
      <c r="E8" s="174">
        <f>Attendance!E8</f>
        <v>580</v>
      </c>
      <c r="F8" s="175">
        <f>Attendance!F8</f>
        <v>425</v>
      </c>
      <c r="G8" s="166">
        <f>Attendance!G8</f>
        <v>0.73275862068965514</v>
      </c>
      <c r="H8" s="174">
        <f>Attendance!H8</f>
        <v>70</v>
      </c>
      <c r="I8" s="174">
        <f>Attendance!I8</f>
        <v>140</v>
      </c>
      <c r="J8" s="175">
        <f>Attendance!J8</f>
        <v>82</v>
      </c>
      <c r="K8" s="166">
        <f>Attendance!K8</f>
        <v>0.58571428571428574</v>
      </c>
      <c r="L8" s="175">
        <f>Attendance!L8</f>
        <v>507</v>
      </c>
      <c r="M8" s="89">
        <f>Attendance!M8</f>
        <v>997722</v>
      </c>
      <c r="N8" s="176">
        <f>Attendance!N8</f>
        <v>1967.8934911242604</v>
      </c>
      <c r="O8" s="201">
        <f>J8/L8</f>
        <v>0.16173570019723865</v>
      </c>
      <c r="P8" s="369"/>
      <c r="Q8" s="278" t="s">
        <v>31</v>
      </c>
      <c r="R8" s="316">
        <f>SUM(R5:R7)</f>
        <v>16000</v>
      </c>
      <c r="S8" s="241">
        <f>T8/R8</f>
        <v>6.5625</v>
      </c>
      <c r="T8" s="324">
        <f>SUM(T5:T7)</f>
        <v>105000</v>
      </c>
      <c r="U8" s="387"/>
      <c r="V8" s="320" t="s">
        <v>22</v>
      </c>
      <c r="W8" s="320"/>
      <c r="X8" s="72">
        <v>25</v>
      </c>
      <c r="Y8" s="73" t="s">
        <v>60</v>
      </c>
    </row>
    <row r="9" spans="1:25" ht="17.25" customHeight="1" thickBot="1" x14ac:dyDescent="0.4">
      <c r="A9" s="369"/>
      <c r="B9" s="116">
        <f t="shared" ref="B9:B11" si="0">B8+1</f>
        <v>2024</v>
      </c>
      <c r="C9" s="209">
        <v>2</v>
      </c>
      <c r="D9" s="210">
        <f>Attendance!D9</f>
        <v>290</v>
      </c>
      <c r="E9" s="210">
        <f>Attendance!E9</f>
        <v>580</v>
      </c>
      <c r="F9" s="212">
        <f>Attendance!F9</f>
        <v>498</v>
      </c>
      <c r="G9" s="211">
        <f>Attendance!G9</f>
        <v>0.85862068965517246</v>
      </c>
      <c r="H9" s="210">
        <f>Attendance!H9</f>
        <v>70</v>
      </c>
      <c r="I9" s="210">
        <f>Attendance!I9</f>
        <v>140</v>
      </c>
      <c r="J9" s="212">
        <f>Attendance!J9</f>
        <v>99</v>
      </c>
      <c r="K9" s="211">
        <f>Attendance!K9</f>
        <v>0.70714285714285718</v>
      </c>
      <c r="L9" s="212">
        <f>Attendance!L9</f>
        <v>597</v>
      </c>
      <c r="M9" s="103">
        <f>Attendance!M9</f>
        <v>1450696</v>
      </c>
      <c r="N9" s="214">
        <f>Attendance!N9</f>
        <v>2429.9765494137355</v>
      </c>
      <c r="O9" s="276">
        <f>J9/L9</f>
        <v>0.16582914572864321</v>
      </c>
      <c r="P9" s="69"/>
    </row>
    <row r="10" spans="1:25" ht="15" customHeight="1" thickTop="1" x14ac:dyDescent="0.35">
      <c r="A10" s="369"/>
      <c r="B10" s="115">
        <f t="shared" si="0"/>
        <v>2025</v>
      </c>
      <c r="C10" s="97">
        <v>2</v>
      </c>
      <c r="D10" s="215">
        <v>290</v>
      </c>
      <c r="E10" s="98">
        <f t="shared" ref="E10:E11" si="1">C10*D10</f>
        <v>580</v>
      </c>
      <c r="F10" s="220">
        <f>E10*G10</f>
        <v>498.21999999999997</v>
      </c>
      <c r="G10" s="99">
        <v>0.85899999999999999</v>
      </c>
      <c r="H10" s="98">
        <f>H9</f>
        <v>70</v>
      </c>
      <c r="I10" s="88">
        <f>C10*H10</f>
        <v>140</v>
      </c>
      <c r="J10" s="220">
        <f>O10*F10</f>
        <v>84.697400000000002</v>
      </c>
      <c r="K10" s="84">
        <f t="shared" ref="K10:K11" si="2">J10/I10</f>
        <v>0.60498142857142856</v>
      </c>
      <c r="L10" s="162">
        <f t="shared" ref="L10:L11" si="3">F10+J10</f>
        <v>582.91739999999993</v>
      </c>
      <c r="M10" s="101">
        <f>L10*N10</f>
        <v>1282418.2799999998</v>
      </c>
      <c r="N10" s="213">
        <v>2200</v>
      </c>
      <c r="O10" s="219">
        <v>0.17</v>
      </c>
      <c r="P10" s="368" t="s">
        <v>86</v>
      </c>
      <c r="Q10" s="425" t="s">
        <v>84</v>
      </c>
      <c r="R10" s="426"/>
      <c r="S10" s="426"/>
      <c r="T10" s="426"/>
      <c r="U10" s="426"/>
      <c r="V10" s="426"/>
      <c r="W10" s="426"/>
      <c r="X10" s="229"/>
      <c r="Y10" s="230"/>
    </row>
    <row r="11" spans="1:25" ht="15" customHeight="1" x14ac:dyDescent="0.35">
      <c r="A11" s="369"/>
      <c r="B11" s="115">
        <f t="shared" si="0"/>
        <v>2026</v>
      </c>
      <c r="C11" s="97">
        <v>2</v>
      </c>
      <c r="D11" s="170">
        <v>290</v>
      </c>
      <c r="E11" s="98">
        <f t="shared" si="1"/>
        <v>580</v>
      </c>
      <c r="F11" s="220">
        <f>E11*G11</f>
        <v>498.21999999999997</v>
      </c>
      <c r="G11" s="99">
        <v>0.85899999999999999</v>
      </c>
      <c r="H11" s="98">
        <f>H9</f>
        <v>70</v>
      </c>
      <c r="I11" s="100">
        <f>C11*H11</f>
        <v>140</v>
      </c>
      <c r="J11" s="220">
        <f>O11*F11</f>
        <v>84.697400000000002</v>
      </c>
      <c r="K11" s="84">
        <f t="shared" si="2"/>
        <v>0.60498142857142856</v>
      </c>
      <c r="L11" s="162">
        <f t="shared" si="3"/>
        <v>582.91739999999993</v>
      </c>
      <c r="M11" s="101">
        <f t="shared" ref="M11" si="4">N11*L11</f>
        <v>1282418.2799999998</v>
      </c>
      <c r="N11" s="102">
        <v>2200</v>
      </c>
      <c r="O11" s="219">
        <v>0.17</v>
      </c>
      <c r="P11" s="369"/>
      <c r="Q11" s="427"/>
      <c r="R11" s="428"/>
      <c r="S11" s="428"/>
      <c r="T11" s="428"/>
      <c r="U11" s="428"/>
      <c r="V11" s="428"/>
      <c r="W11" s="428"/>
      <c r="X11" s="231"/>
    </row>
    <row r="12" spans="1:25" ht="15" customHeight="1" x14ac:dyDescent="0.35">
      <c r="A12" s="369"/>
      <c r="B12" s="115">
        <v>2027</v>
      </c>
      <c r="C12" s="97">
        <v>2</v>
      </c>
      <c r="D12" s="170">
        <v>290</v>
      </c>
      <c r="E12" s="98">
        <f t="shared" ref="E12" si="5">C12*D12</f>
        <v>580</v>
      </c>
      <c r="F12" s="220">
        <f>E12*G12</f>
        <v>498.21999999999997</v>
      </c>
      <c r="G12" s="99">
        <v>0.85899999999999999</v>
      </c>
      <c r="H12" s="98">
        <f>H10</f>
        <v>70</v>
      </c>
      <c r="I12" s="100">
        <f>C12*H12</f>
        <v>140</v>
      </c>
      <c r="J12" s="220">
        <f>O12*F12</f>
        <v>104.62619999999998</v>
      </c>
      <c r="K12" s="84">
        <f t="shared" ref="K12" si="6">J12/I12</f>
        <v>0.74732999999999983</v>
      </c>
      <c r="L12" s="162">
        <f t="shared" ref="L12" si="7">F12+J12</f>
        <v>602.84619999999995</v>
      </c>
      <c r="M12" s="101">
        <f>(N12*L12/12)*5</f>
        <v>577727.60833333328</v>
      </c>
      <c r="N12" s="102">
        <v>2300</v>
      </c>
      <c r="O12" s="219">
        <v>0.21</v>
      </c>
      <c r="P12" s="369"/>
      <c r="Q12" s="4"/>
      <c r="R12" s="5">
        <f>P20</f>
        <v>2025</v>
      </c>
      <c r="S12" s="123">
        <f>R20</f>
        <v>2026</v>
      </c>
      <c r="T12" s="5">
        <f>S12+1</f>
        <v>2027</v>
      </c>
      <c r="U12" s="298">
        <f t="shared" ref="U12:W12" si="8">T12+1</f>
        <v>2028</v>
      </c>
      <c r="V12" s="5">
        <f t="shared" si="8"/>
        <v>2029</v>
      </c>
      <c r="W12" s="5">
        <f t="shared" si="8"/>
        <v>2030</v>
      </c>
      <c r="Y12" s="232"/>
    </row>
    <row r="13" spans="1:25" ht="15" customHeight="1" x14ac:dyDescent="0.35">
      <c r="A13" s="369"/>
      <c r="B13" s="115">
        <f>B11+1</f>
        <v>2027</v>
      </c>
      <c r="C13" s="97">
        <v>2</v>
      </c>
      <c r="D13" s="170">
        <v>400</v>
      </c>
      <c r="E13" s="98">
        <f>C13*D13</f>
        <v>800</v>
      </c>
      <c r="F13" s="220">
        <f>E13*G13</f>
        <v>560</v>
      </c>
      <c r="G13" s="99">
        <v>0.7</v>
      </c>
      <c r="H13" s="98">
        <f>D13*25%</f>
        <v>100</v>
      </c>
      <c r="I13" s="100">
        <f t="shared" ref="I13:I15" si="9">C13*H13</f>
        <v>200</v>
      </c>
      <c r="J13" s="220">
        <f>O12*F13</f>
        <v>117.6</v>
      </c>
      <c r="K13" s="84">
        <f>J13/I13</f>
        <v>0.58799999999999997</v>
      </c>
      <c r="L13" s="162">
        <f>F13+J13</f>
        <v>677.6</v>
      </c>
      <c r="M13" s="101">
        <f>(N13*L13/12)*7</f>
        <v>928876.66666666663</v>
      </c>
      <c r="N13" s="102">
        <v>2350</v>
      </c>
      <c r="O13" s="219">
        <v>0.24</v>
      </c>
      <c r="P13" s="369"/>
      <c r="Q13" s="6" t="s">
        <v>47</v>
      </c>
      <c r="R13" s="272" t="s">
        <v>40</v>
      </c>
      <c r="S13" s="273" t="str">
        <f>R13</f>
        <v>N/A</v>
      </c>
      <c r="T13" s="193">
        <f>-(PMT(V7/12,X8*12,X7)*12)</f>
        <v>407877.53163568513</v>
      </c>
      <c r="U13" s="299">
        <f>T13</f>
        <v>407877.53163568513</v>
      </c>
      <c r="V13" s="193">
        <f>T13</f>
        <v>407877.53163568513</v>
      </c>
      <c r="W13" s="194">
        <f>T13</f>
        <v>407877.53163568513</v>
      </c>
      <c r="X13" s="233"/>
      <c r="Y13" s="235"/>
    </row>
    <row r="14" spans="1:25" ht="15.75" customHeight="1" x14ac:dyDescent="0.35">
      <c r="A14" s="369"/>
      <c r="B14" s="173">
        <f>B13+1</f>
        <v>2028</v>
      </c>
      <c r="C14" s="86">
        <v>3</v>
      </c>
      <c r="D14" s="87">
        <f>D13</f>
        <v>400</v>
      </c>
      <c r="E14" s="87">
        <f>C14*D14</f>
        <v>1200</v>
      </c>
      <c r="F14" s="167">
        <f>(D13*0.85)+(D13*0.7)+(D13*0.5)</f>
        <v>820</v>
      </c>
      <c r="G14" s="166">
        <f>F14/E14</f>
        <v>0.68333333333333335</v>
      </c>
      <c r="H14" s="87">
        <f>H13</f>
        <v>100</v>
      </c>
      <c r="I14" s="88">
        <f t="shared" si="9"/>
        <v>300</v>
      </c>
      <c r="J14" s="221">
        <f>O13*F14</f>
        <v>196.79999999999998</v>
      </c>
      <c r="K14" s="166">
        <f>J14/I14</f>
        <v>0.65599999999999992</v>
      </c>
      <c r="L14" s="221">
        <f>F14+J14</f>
        <v>1016.8</v>
      </c>
      <c r="M14" s="89">
        <f>N14*L14</f>
        <v>2389480</v>
      </c>
      <c r="N14" s="90">
        <v>2350</v>
      </c>
      <c r="O14" s="219">
        <v>0.24</v>
      </c>
      <c r="P14" s="369"/>
      <c r="Q14" s="7" t="s">
        <v>62</v>
      </c>
      <c r="R14" s="196">
        <f>T8</f>
        <v>105000</v>
      </c>
      <c r="S14" s="195">
        <f>R14*1.03</f>
        <v>108150</v>
      </c>
      <c r="T14" s="196">
        <f>W5*5</f>
        <v>100000</v>
      </c>
      <c r="U14" s="195">
        <f>T14*1.03</f>
        <v>103000</v>
      </c>
      <c r="V14" s="196">
        <f t="shared" ref="V14:W14" si="10">U14*1.03</f>
        <v>106090</v>
      </c>
      <c r="W14" s="197">
        <f t="shared" si="10"/>
        <v>109272.7</v>
      </c>
      <c r="Y14" s="234"/>
    </row>
    <row r="15" spans="1:25" ht="15" customHeight="1" thickBot="1" x14ac:dyDescent="0.4">
      <c r="A15" s="369"/>
      <c r="B15" s="315">
        <f>B14+1</f>
        <v>2029</v>
      </c>
      <c r="C15" s="91">
        <v>3</v>
      </c>
      <c r="D15" s="92">
        <f>D13</f>
        <v>400</v>
      </c>
      <c r="E15" s="92">
        <f>C15*D15</f>
        <v>1200</v>
      </c>
      <c r="F15" s="222">
        <f t="shared" ref="F15" si="11">E15*G15</f>
        <v>888</v>
      </c>
      <c r="G15" s="94">
        <v>0.74</v>
      </c>
      <c r="H15" s="92">
        <f>D15*0.25</f>
        <v>100</v>
      </c>
      <c r="I15" s="93">
        <f t="shared" si="9"/>
        <v>300</v>
      </c>
      <c r="J15" s="222">
        <f>O14*F15</f>
        <v>213.12</v>
      </c>
      <c r="K15" s="300">
        <f>J15/I15</f>
        <v>0.71040000000000003</v>
      </c>
      <c r="L15" s="169">
        <f>F15+J15</f>
        <v>1101.1199999999999</v>
      </c>
      <c r="M15" s="95">
        <f>N15*L15</f>
        <v>2587631.9999999995</v>
      </c>
      <c r="N15" s="96">
        <v>2350</v>
      </c>
      <c r="O15" s="201"/>
      <c r="P15" s="369"/>
      <c r="Q15" s="8" t="s">
        <v>4</v>
      </c>
      <c r="R15" s="199">
        <f>SUM(R13:R14)</f>
        <v>105000</v>
      </c>
      <c r="S15" s="199">
        <f>SUM(S13:S14)</f>
        <v>108150</v>
      </c>
      <c r="T15" s="198">
        <f>SUM(T13:T14)</f>
        <v>507877.53163568513</v>
      </c>
      <c r="U15" s="199">
        <f>SUM(U13:U14)</f>
        <v>510877.53163568513</v>
      </c>
      <c r="V15" s="198">
        <f t="shared" ref="V15:W15" si="12">SUM(V13:V14)</f>
        <v>513967.53163568513</v>
      </c>
      <c r="W15" s="200">
        <f t="shared" si="12"/>
        <v>517150.23163568514</v>
      </c>
    </row>
    <row r="16" spans="1:25" ht="17" customHeight="1" thickBot="1" x14ac:dyDescent="0.4">
      <c r="B16" s="10"/>
      <c r="C16" s="10"/>
      <c r="D16" s="10"/>
      <c r="E16" s="10"/>
      <c r="I16" s="11"/>
      <c r="J16" s="12"/>
      <c r="M16" s="13"/>
      <c r="N16" s="14"/>
      <c r="O16" s="15"/>
    </row>
    <row r="17" spans="1:27" ht="30" customHeight="1" thickBot="1" x14ac:dyDescent="0.4">
      <c r="A17" s="368" t="s">
        <v>9</v>
      </c>
      <c r="B17" s="407" t="s">
        <v>13</v>
      </c>
      <c r="C17" s="408"/>
      <c r="D17" s="408"/>
      <c r="E17" s="408"/>
      <c r="F17" s="408"/>
      <c r="G17" s="408"/>
      <c r="H17" s="408"/>
      <c r="I17" s="408"/>
      <c r="J17" s="408"/>
      <c r="K17" s="408"/>
      <c r="L17" s="408"/>
      <c r="M17" s="408"/>
      <c r="N17" s="409"/>
      <c r="O17" s="202"/>
      <c r="P17" s="435" t="s">
        <v>14</v>
      </c>
      <c r="Q17" s="436"/>
      <c r="R17" s="436"/>
      <c r="S17" s="436"/>
      <c r="T17" s="436"/>
      <c r="U17" s="436"/>
      <c r="V17" s="436"/>
      <c r="W17" s="436"/>
      <c r="X17" s="436"/>
      <c r="Y17" s="437"/>
      <c r="Z17" s="106"/>
      <c r="AA17" s="106"/>
    </row>
    <row r="18" spans="1:27" ht="1.5" customHeight="1" x14ac:dyDescent="0.35">
      <c r="A18" s="369"/>
      <c r="B18" s="16"/>
      <c r="N18" s="3"/>
      <c r="P18" s="16"/>
      <c r="Y18" s="3"/>
    </row>
    <row r="19" spans="1:27" ht="18" customHeight="1" thickBot="1" x14ac:dyDescent="0.4">
      <c r="A19" s="369"/>
      <c r="B19" s="461" t="s">
        <v>11</v>
      </c>
      <c r="C19" s="462"/>
      <c r="D19" s="462"/>
      <c r="E19" s="462"/>
      <c r="F19" s="462"/>
      <c r="G19" s="17"/>
      <c r="H19" s="17"/>
      <c r="I19" s="17"/>
      <c r="J19" s="17"/>
      <c r="K19" s="17"/>
      <c r="L19" s="17"/>
      <c r="M19" s="17"/>
      <c r="N19" s="18"/>
      <c r="P19" s="385" t="s">
        <v>99</v>
      </c>
      <c r="Q19" s="383"/>
      <c r="R19" s="383"/>
      <c r="S19" s="386"/>
      <c r="T19" s="383" t="s">
        <v>61</v>
      </c>
      <c r="U19" s="383"/>
      <c r="V19" s="383"/>
      <c r="W19" s="383"/>
      <c r="X19" s="383"/>
      <c r="Y19" s="384"/>
      <c r="Z19" s="105"/>
      <c r="AA19" s="105"/>
    </row>
    <row r="20" spans="1:27" ht="15" customHeight="1" x14ac:dyDescent="0.35">
      <c r="A20" s="369"/>
      <c r="B20" s="124"/>
      <c r="C20" s="20"/>
      <c r="D20" s="20"/>
      <c r="E20" s="20"/>
      <c r="F20" s="20"/>
      <c r="G20" s="381">
        <f>B7</f>
        <v>2022</v>
      </c>
      <c r="H20" s="381"/>
      <c r="I20" s="381">
        <f>B8</f>
        <v>2023</v>
      </c>
      <c r="J20" s="381"/>
      <c r="K20" s="381">
        <v>2024</v>
      </c>
      <c r="L20" s="381"/>
      <c r="M20" s="381"/>
      <c r="N20" s="382"/>
      <c r="P20" s="379">
        <v>2025</v>
      </c>
      <c r="Q20" s="390"/>
      <c r="R20" s="388">
        <f>P20+1</f>
        <v>2026</v>
      </c>
      <c r="S20" s="389"/>
      <c r="T20" s="380" t="s">
        <v>89</v>
      </c>
      <c r="U20" s="390"/>
      <c r="V20" s="379" t="s">
        <v>91</v>
      </c>
      <c r="W20" s="380"/>
      <c r="X20" s="440" t="s">
        <v>92</v>
      </c>
      <c r="Y20" s="441"/>
      <c r="Z20" s="418"/>
      <c r="AA20" s="418"/>
    </row>
    <row r="21" spans="1:27" ht="15" customHeight="1" x14ac:dyDescent="0.35">
      <c r="A21" s="369"/>
      <c r="B21" s="125" t="s">
        <v>67</v>
      </c>
      <c r="C21" s="126"/>
      <c r="D21" s="126"/>
      <c r="E21" s="126"/>
      <c r="F21" s="126"/>
      <c r="G21" s="410">
        <f>M7</f>
        <v>845024</v>
      </c>
      <c r="H21" s="410"/>
      <c r="I21" s="410">
        <f>M8</f>
        <v>997722</v>
      </c>
      <c r="J21" s="410"/>
      <c r="K21" s="410">
        <f>M9</f>
        <v>1450696</v>
      </c>
      <c r="L21" s="410"/>
      <c r="M21" s="397"/>
      <c r="N21" s="398"/>
      <c r="P21" s="52"/>
      <c r="Q21" s="249">
        <f>M10</f>
        <v>1282418.2799999998</v>
      </c>
      <c r="R21" s="243"/>
      <c r="S21" s="279">
        <f>M11</f>
        <v>1282418.2799999998</v>
      </c>
      <c r="T21" s="19"/>
      <c r="U21" s="257">
        <f>M12+M13</f>
        <v>1506604.2749999999</v>
      </c>
      <c r="V21" s="264"/>
      <c r="W21" s="311">
        <f>M14</f>
        <v>2389480</v>
      </c>
      <c r="X21" s="226"/>
      <c r="Y21" s="46">
        <f>M15</f>
        <v>2587631.9999999995</v>
      </c>
      <c r="Z21" s="107"/>
      <c r="AA21" s="107"/>
    </row>
    <row r="22" spans="1:27" ht="15" customHeight="1" x14ac:dyDescent="0.35">
      <c r="A22" s="369"/>
      <c r="B22" s="125" t="s">
        <v>79</v>
      </c>
      <c r="C22" s="126"/>
      <c r="D22" s="126"/>
      <c r="E22" s="126"/>
      <c r="F22" s="126"/>
      <c r="G22" s="373">
        <v>0</v>
      </c>
      <c r="H22" s="373"/>
      <c r="I22" s="373">
        <v>0</v>
      </c>
      <c r="J22" s="373"/>
      <c r="K22" s="373">
        <v>0</v>
      </c>
      <c r="L22" s="373"/>
      <c r="M22" s="412"/>
      <c r="N22" s="413"/>
      <c r="P22" s="52"/>
      <c r="Q22" s="305">
        <f>(2900000*0.25)+(90625*7)</f>
        <v>1359375</v>
      </c>
      <c r="R22" s="243"/>
      <c r="S22" s="307">
        <f>90625*12</f>
        <v>1087500</v>
      </c>
      <c r="T22" s="19"/>
      <c r="U22" s="309">
        <f>(90625*5)+300000</f>
        <v>753125</v>
      </c>
      <c r="V22" s="19"/>
      <c r="W22" s="307">
        <v>0</v>
      </c>
      <c r="X22" s="19"/>
      <c r="Y22" s="307">
        <v>0</v>
      </c>
      <c r="Z22" s="107"/>
      <c r="AA22" s="107"/>
    </row>
    <row r="23" spans="1:27" x14ac:dyDescent="0.35">
      <c r="A23" s="369"/>
      <c r="B23" s="125" t="s">
        <v>70</v>
      </c>
      <c r="C23" s="126"/>
      <c r="D23" s="126"/>
      <c r="E23" s="126"/>
      <c r="F23" s="126"/>
      <c r="G23" s="374">
        <f>SUM(G21:H22)</f>
        <v>845024</v>
      </c>
      <c r="H23" s="375"/>
      <c r="I23" s="374">
        <f t="shared" ref="I23" si="13">SUM(I21:J22)</f>
        <v>997722</v>
      </c>
      <c r="J23" s="375"/>
      <c r="K23" s="374">
        <f t="shared" ref="K23" si="14">SUM(K21:L22)</f>
        <v>1450696</v>
      </c>
      <c r="L23" s="375"/>
      <c r="M23" s="412"/>
      <c r="N23" s="413"/>
      <c r="P23" s="52"/>
      <c r="Q23" s="306">
        <f>SUM(Q21:Q22)</f>
        <v>2641793.2799999998</v>
      </c>
      <c r="R23" s="243"/>
      <c r="S23" s="308">
        <f>+SUM(S21:S22)</f>
        <v>2369918.2799999998</v>
      </c>
      <c r="T23" s="19"/>
      <c r="U23" s="310">
        <f>SUM(U21:U22)</f>
        <v>2259729.2749999999</v>
      </c>
      <c r="V23" s="19"/>
      <c r="W23" s="313">
        <f>SUM(W21:W22)</f>
        <v>2389480</v>
      </c>
      <c r="X23" s="19"/>
      <c r="Y23" s="314">
        <f>SUM(Y21:Y22)</f>
        <v>2587631.9999999995</v>
      </c>
      <c r="Z23" s="107"/>
      <c r="AA23" s="107"/>
    </row>
    <row r="24" spans="1:27" ht="15" customHeight="1" x14ac:dyDescent="0.35">
      <c r="A24" s="369"/>
      <c r="B24" s="125" t="s">
        <v>15</v>
      </c>
      <c r="C24" s="126"/>
      <c r="D24" s="126"/>
      <c r="E24" s="126"/>
      <c r="F24" s="126"/>
      <c r="G24" s="373">
        <f>G33</f>
        <v>659956</v>
      </c>
      <c r="H24" s="373"/>
      <c r="I24" s="373">
        <f>I33</f>
        <v>922702</v>
      </c>
      <c r="J24" s="373"/>
      <c r="K24" s="373">
        <f>K33</f>
        <v>1094887</v>
      </c>
      <c r="L24" s="373"/>
      <c r="M24" s="438"/>
      <c r="N24" s="439"/>
      <c r="P24" s="82">
        <v>0.90900000000000003</v>
      </c>
      <c r="Q24" s="250">
        <f>P24*Q21</f>
        <v>1165718.2165199998</v>
      </c>
      <c r="R24" s="244">
        <v>0.87</v>
      </c>
      <c r="S24" s="280">
        <f>S21*R24</f>
        <v>1115703.9035999998</v>
      </c>
      <c r="T24" s="21">
        <v>1</v>
      </c>
      <c r="U24" s="258">
        <f>U21*T24</f>
        <v>1506604.2749999999</v>
      </c>
      <c r="V24" s="265">
        <v>0.9</v>
      </c>
      <c r="W24" s="312">
        <f>W21*V24</f>
        <v>2150532</v>
      </c>
      <c r="X24" s="21">
        <v>0.87</v>
      </c>
      <c r="Y24" s="47">
        <f t="shared" ref="Y24" si="15">Y21*X24</f>
        <v>2251239.8399999994</v>
      </c>
      <c r="Z24" s="108"/>
      <c r="AA24" s="109"/>
    </row>
    <row r="25" spans="1:27" ht="15" customHeight="1" x14ac:dyDescent="0.35">
      <c r="A25" s="369"/>
      <c r="B25" s="127" t="s">
        <v>0</v>
      </c>
      <c r="C25" s="128"/>
      <c r="D25" s="128"/>
      <c r="E25" s="128"/>
      <c r="F25" s="128"/>
      <c r="G25" s="411">
        <f>G21-G24</f>
        <v>185068</v>
      </c>
      <c r="H25" s="411"/>
      <c r="I25" s="411">
        <f>I21-I24</f>
        <v>75020</v>
      </c>
      <c r="J25" s="411"/>
      <c r="K25" s="411">
        <f>K21-K24</f>
        <v>355809</v>
      </c>
      <c r="L25" s="411"/>
      <c r="M25" s="442"/>
      <c r="N25" s="443"/>
      <c r="O25" s="51"/>
      <c r="P25" s="22"/>
      <c r="Q25" s="251">
        <f>Q23-Q24</f>
        <v>1476075.06348</v>
      </c>
      <c r="R25" s="245"/>
      <c r="S25" s="281">
        <f>S23-S24</f>
        <v>1254214.3764</v>
      </c>
      <c r="T25" s="36"/>
      <c r="U25" s="259">
        <f>U23-U24</f>
        <v>753125</v>
      </c>
      <c r="V25" s="266"/>
      <c r="W25" s="223">
        <f>W21-W24</f>
        <v>238948</v>
      </c>
      <c r="X25" s="291"/>
      <c r="Y25" s="64">
        <f t="shared" ref="Y25" si="16">Y21-Y24</f>
        <v>336392.16000000015</v>
      </c>
      <c r="Z25" s="51"/>
      <c r="AA25" s="51"/>
    </row>
    <row r="26" spans="1:27" ht="15" customHeight="1" x14ac:dyDescent="0.35">
      <c r="A26" s="369"/>
      <c r="B26" s="125" t="s">
        <v>63</v>
      </c>
      <c r="C26" s="126"/>
      <c r="D26" s="126"/>
      <c r="E26" s="126"/>
      <c r="F26" s="126"/>
      <c r="G26" s="371">
        <f>G25/G21</f>
        <v>0.2190091642367554</v>
      </c>
      <c r="H26" s="371"/>
      <c r="I26" s="371">
        <f>I25/I21</f>
        <v>7.5191285748936076E-2</v>
      </c>
      <c r="J26" s="371"/>
      <c r="K26" s="371">
        <f>K25/K21</f>
        <v>0.24526778870280197</v>
      </c>
      <c r="L26" s="371"/>
      <c r="M26" s="371"/>
      <c r="N26" s="372"/>
      <c r="O26" s="14"/>
      <c r="P26" s="23"/>
      <c r="Q26" s="252">
        <f>Q25/Q21</f>
        <v>1.1510090635014967</v>
      </c>
      <c r="R26" s="246"/>
      <c r="S26" s="282">
        <f>S25/S21</f>
        <v>0.97800725080119733</v>
      </c>
      <c r="T26" s="121"/>
      <c r="U26" s="260">
        <f>U25/U21</f>
        <v>0.49988242599404548</v>
      </c>
      <c r="V26" s="267"/>
      <c r="W26" s="224">
        <f>W25/W21</f>
        <v>0.1</v>
      </c>
      <c r="X26" s="292"/>
      <c r="Y26" s="48">
        <f t="shared" ref="Y26" si="17">Y25/Y21</f>
        <v>0.13000000000000009</v>
      </c>
      <c r="Z26" s="13"/>
      <c r="AA26" s="13"/>
    </row>
    <row r="27" spans="1:27" ht="3.75" customHeight="1" x14ac:dyDescent="0.35">
      <c r="A27" s="369"/>
      <c r="B27" s="129"/>
      <c r="C27" s="130"/>
      <c r="D27" s="130"/>
      <c r="E27" s="130"/>
      <c r="F27" s="131"/>
      <c r="G27" s="131"/>
      <c r="H27" s="131"/>
      <c r="I27" s="130"/>
      <c r="J27" s="132"/>
      <c r="K27" s="132"/>
      <c r="L27" s="132"/>
      <c r="M27" s="133"/>
      <c r="N27" s="134"/>
      <c r="P27" s="22"/>
      <c r="Q27" s="253"/>
      <c r="R27" s="245"/>
      <c r="S27" s="283"/>
      <c r="T27" s="122"/>
      <c r="U27" s="261"/>
      <c r="V27" s="268"/>
      <c r="W27" s="288"/>
      <c r="X27" s="293"/>
      <c r="Y27" s="49"/>
    </row>
    <row r="28" spans="1:27" ht="18" customHeight="1" x14ac:dyDescent="0.35">
      <c r="A28" s="369"/>
      <c r="B28" s="78" t="s">
        <v>12</v>
      </c>
      <c r="C28" s="45"/>
      <c r="D28" s="45"/>
      <c r="E28" s="45"/>
      <c r="F28" s="17"/>
      <c r="G28" s="17"/>
      <c r="H28" s="17"/>
      <c r="I28" s="17"/>
      <c r="J28" s="17"/>
      <c r="K28" s="17"/>
      <c r="L28" s="17"/>
      <c r="M28" s="25"/>
      <c r="N28" s="26"/>
      <c r="P28" s="27" t="s">
        <v>1</v>
      </c>
      <c r="Q28" s="254"/>
      <c r="R28" s="247" t="s">
        <v>1</v>
      </c>
      <c r="S28" s="284"/>
      <c r="T28" s="28" t="s">
        <v>1</v>
      </c>
      <c r="U28" s="262"/>
      <c r="V28" s="269" t="s">
        <v>1</v>
      </c>
      <c r="W28" s="289"/>
      <c r="X28" s="294" t="s">
        <v>1</v>
      </c>
      <c r="Y28" s="50"/>
      <c r="Z28" s="110"/>
    </row>
    <row r="29" spans="1:27" ht="15" customHeight="1" x14ac:dyDescent="0.35">
      <c r="A29" s="369"/>
      <c r="B29" s="135" t="s">
        <v>24</v>
      </c>
      <c r="C29" s="136"/>
      <c r="D29" s="20"/>
      <c r="E29" s="20"/>
      <c r="F29" s="137"/>
      <c r="G29" s="444">
        <v>267418</v>
      </c>
      <c r="H29" s="444"/>
      <c r="I29" s="444">
        <v>486328</v>
      </c>
      <c r="J29" s="444"/>
      <c r="K29" s="444">
        <v>605913</v>
      </c>
      <c r="L29" s="444"/>
      <c r="M29" s="397"/>
      <c r="N29" s="398"/>
      <c r="P29" s="144">
        <f>Q29/Q24</f>
        <v>0.51977655612933849</v>
      </c>
      <c r="Q29" s="255">
        <f>K29</f>
        <v>605913</v>
      </c>
      <c r="R29" s="248">
        <f>S29/S24</f>
        <v>0.55936919104277671</v>
      </c>
      <c r="S29" s="285">
        <f>Q29*1.03</f>
        <v>624090.39</v>
      </c>
      <c r="T29" s="145">
        <f>U29/U24</f>
        <v>0.42666353226695847</v>
      </c>
      <c r="U29" s="274">
        <f>S29*1.03</f>
        <v>642813.1017</v>
      </c>
      <c r="V29" s="270">
        <f>W29/W24</f>
        <v>0.46265470906036271</v>
      </c>
      <c r="W29" s="290">
        <f>(U29*1.05)+(80000*4)</f>
        <v>994953.75678499998</v>
      </c>
      <c r="X29" s="295">
        <v>0.46300000000000002</v>
      </c>
      <c r="Y29" s="53">
        <f>$Y$24*X29</f>
        <v>1042324.0459199997</v>
      </c>
      <c r="Z29" s="111"/>
      <c r="AA29" s="77"/>
    </row>
    <row r="30" spans="1:27" ht="15" customHeight="1" x14ac:dyDescent="0.35">
      <c r="A30" s="369"/>
      <c r="B30" s="125" t="s">
        <v>25</v>
      </c>
      <c r="C30" s="126"/>
      <c r="D30" s="24"/>
      <c r="E30" s="24"/>
      <c r="F30" s="138"/>
      <c r="G30" s="378">
        <v>322767</v>
      </c>
      <c r="H30" s="378"/>
      <c r="I30" s="378">
        <v>332644</v>
      </c>
      <c r="J30" s="378"/>
      <c r="K30" s="378">
        <f>1094887-K29-K31</f>
        <v>393165</v>
      </c>
      <c r="L30" s="378"/>
      <c r="M30" s="397"/>
      <c r="N30" s="398"/>
      <c r="P30" s="144">
        <f>Q30/Q24</f>
        <v>0.28535541032637962</v>
      </c>
      <c r="Q30" s="255">
        <f>I30</f>
        <v>332644</v>
      </c>
      <c r="R30" s="248">
        <f>S30/S24</f>
        <v>0.30709162071986146</v>
      </c>
      <c r="S30" s="286">
        <f>Q30*1.03</f>
        <v>342623.32</v>
      </c>
      <c r="T30" s="145">
        <f>U30/U24</f>
        <v>0.26435291386012782</v>
      </c>
      <c r="U30" s="275">
        <f>S30/L11*L13</f>
        <v>398275.2301303753</v>
      </c>
      <c r="V30" s="270">
        <f>W30/W24</f>
        <v>0.27790702697769021</v>
      </c>
      <c r="W30" s="275">
        <f>(U30/L13)*L14</f>
        <v>597647.9545403861</v>
      </c>
      <c r="X30" s="296">
        <f>Y30/Y24</f>
        <v>0.28749002790795541</v>
      </c>
      <c r="Y30" s="303">
        <f>(W30/L14)*L15</f>
        <v>647209.0044291009</v>
      </c>
      <c r="AA30" s="77"/>
    </row>
    <row r="31" spans="1:27" ht="15" customHeight="1" x14ac:dyDescent="0.35">
      <c r="A31" s="369"/>
      <c r="B31" s="125" t="s">
        <v>26</v>
      </c>
      <c r="C31" s="126"/>
      <c r="D31" s="24"/>
      <c r="E31" s="24"/>
      <c r="F31" s="138"/>
      <c r="G31" s="378">
        <v>69771</v>
      </c>
      <c r="H31" s="378"/>
      <c r="I31" s="378">
        <v>103730</v>
      </c>
      <c r="J31" s="378"/>
      <c r="K31" s="378">
        <v>95809</v>
      </c>
      <c r="L31" s="378"/>
      <c r="M31" s="397"/>
      <c r="N31" s="398"/>
      <c r="P31" s="144">
        <f>Q31/Q24</f>
        <v>9.0073225683523106E-2</v>
      </c>
      <c r="Q31" s="255">
        <f>T8</f>
        <v>105000</v>
      </c>
      <c r="R31" s="248">
        <v>0.56000000000000005</v>
      </c>
      <c r="S31" s="285">
        <f>Q31*1.03</f>
        <v>108150</v>
      </c>
      <c r="T31" s="145">
        <f>U31/U24</f>
        <v>0.33710081675938769</v>
      </c>
      <c r="U31" s="263">
        <f>T15</f>
        <v>507877.53163568513</v>
      </c>
      <c r="V31" s="270">
        <f>W31/W24</f>
        <v>0.23755867461432106</v>
      </c>
      <c r="W31" s="263">
        <f>U15</f>
        <v>510877.53163568513</v>
      </c>
      <c r="X31" s="296">
        <f>Y31/Y24</f>
        <v>0.22830420930880704</v>
      </c>
      <c r="Y31" s="53">
        <f>V15</f>
        <v>513967.53163568513</v>
      </c>
      <c r="Z31" s="111"/>
      <c r="AA31" s="77"/>
    </row>
    <row r="32" spans="1:27" ht="15" customHeight="1" x14ac:dyDescent="0.35">
      <c r="A32" s="369"/>
      <c r="B32" s="125" t="s">
        <v>10</v>
      </c>
      <c r="C32" s="126"/>
      <c r="D32" s="126"/>
      <c r="E32" s="126"/>
      <c r="F32" s="126"/>
      <c r="G32" s="406">
        <v>0</v>
      </c>
      <c r="H32" s="406"/>
      <c r="I32" s="406">
        <v>0</v>
      </c>
      <c r="J32" s="406"/>
      <c r="K32" s="406">
        <v>0</v>
      </c>
      <c r="L32" s="406"/>
      <c r="M32" s="395"/>
      <c r="N32" s="396"/>
      <c r="P32" s="337">
        <f>Q32/Q24</f>
        <v>0.10479480786075879</v>
      </c>
      <c r="Q32" s="338">
        <f>Q24-SUM(Q29:Q31)</f>
        <v>122161.21651999978</v>
      </c>
      <c r="R32" s="339">
        <f>S32/S24</f>
        <v>3.6604867535393902E-2</v>
      </c>
      <c r="S32" s="340">
        <f>S33-SUM(S29:S31)</f>
        <v>40840.193599999882</v>
      </c>
      <c r="T32" s="341">
        <f>T33-SUM(T29:T31)</f>
        <v>-2.8117262886473871E-2</v>
      </c>
      <c r="U32" s="342">
        <f t="shared" ref="U32:Y32" si="18">$U$24*T32</f>
        <v>-42361.58846606037</v>
      </c>
      <c r="V32" s="343">
        <f>V33-SUM(V29:V31)</f>
        <v>2.1879589347626016E-2</v>
      </c>
      <c r="W32" s="342">
        <f t="shared" si="18"/>
        <v>32963.882846377812</v>
      </c>
      <c r="X32" s="344">
        <f>X33-SUM(X29:X31)</f>
        <v>2.1205762783237603E-2</v>
      </c>
      <c r="Y32" s="345">
        <f t="shared" si="18"/>
        <v>31948.69286386167</v>
      </c>
      <c r="Z32" s="112"/>
      <c r="AA32" s="113"/>
    </row>
    <row r="33" spans="1:36" ht="15" customHeight="1" thickBot="1" x14ac:dyDescent="0.4">
      <c r="A33" s="369"/>
      <c r="B33" s="139" t="s">
        <v>2</v>
      </c>
      <c r="C33" s="140"/>
      <c r="D33" s="140"/>
      <c r="E33" s="140"/>
      <c r="F33" s="140"/>
      <c r="G33" s="402">
        <f>SUM(G29:H32)</f>
        <v>659956</v>
      </c>
      <c r="H33" s="402"/>
      <c r="I33" s="402">
        <f>SUM(I29:J32)</f>
        <v>922702</v>
      </c>
      <c r="J33" s="402"/>
      <c r="K33" s="402">
        <f>SUM(K29:L32)</f>
        <v>1094887</v>
      </c>
      <c r="L33" s="402"/>
      <c r="M33" s="403"/>
      <c r="N33" s="404"/>
      <c r="P33" s="120">
        <f>SUM(P29:P32)</f>
        <v>1</v>
      </c>
      <c r="Q33" s="256">
        <f>SUM(Q29:Q32)</f>
        <v>1165718.2165199998</v>
      </c>
      <c r="R33" s="119">
        <v>1</v>
      </c>
      <c r="S33" s="287">
        <f>S24</f>
        <v>1115703.9035999998</v>
      </c>
      <c r="T33" s="119">
        <v>1</v>
      </c>
      <c r="U33" s="225">
        <f>U24</f>
        <v>1506604.2749999999</v>
      </c>
      <c r="V33" s="271">
        <v>1</v>
      </c>
      <c r="W33" s="225">
        <f>W24</f>
        <v>2150532</v>
      </c>
      <c r="X33" s="297">
        <v>1</v>
      </c>
      <c r="Y33" s="54">
        <f>Y24</f>
        <v>2251239.8399999994</v>
      </c>
      <c r="Z33" s="114"/>
      <c r="AA33" s="77"/>
    </row>
    <row r="34" spans="1:36" ht="17.25" customHeight="1" thickBot="1" x14ac:dyDescent="0.4">
      <c r="A34" s="30"/>
      <c r="B34" s="31"/>
      <c r="C34" s="31"/>
      <c r="D34" s="31"/>
      <c r="E34" s="31"/>
      <c r="F34" s="32"/>
      <c r="G34" s="32"/>
      <c r="H34" s="32"/>
      <c r="I34" s="32"/>
      <c r="J34" s="32"/>
      <c r="K34" s="32"/>
      <c r="L34" s="32"/>
      <c r="N34" s="32"/>
      <c r="P34" s="227" t="s">
        <v>54</v>
      </c>
      <c r="R34" s="32"/>
      <c r="S34" s="32"/>
      <c r="T34" s="32"/>
    </row>
    <row r="35" spans="1:36" ht="18" customHeight="1" x14ac:dyDescent="0.35">
      <c r="A35" s="368" t="s">
        <v>23</v>
      </c>
      <c r="B35" s="62" t="s">
        <v>3</v>
      </c>
      <c r="C35" s="62"/>
      <c r="D35" s="62"/>
      <c r="E35" s="62"/>
      <c r="F35" s="1"/>
      <c r="G35" s="1"/>
      <c r="H35" s="1"/>
      <c r="I35" s="1"/>
      <c r="J35" s="1"/>
      <c r="K35" s="1"/>
      <c r="L35" s="1"/>
      <c r="M35" s="1"/>
      <c r="N35" s="70"/>
      <c r="O35" s="33"/>
      <c r="P35" s="368" t="s">
        <v>71</v>
      </c>
      <c r="Q35" s="432" t="s">
        <v>45</v>
      </c>
      <c r="R35" s="433"/>
      <c r="S35" s="433"/>
      <c r="T35" s="433"/>
      <c r="U35" s="433"/>
      <c r="V35" s="433"/>
      <c r="W35" s="433"/>
      <c r="X35" s="433"/>
      <c r="Y35" s="434"/>
    </row>
    <row r="36" spans="1:36" ht="18" customHeight="1" x14ac:dyDescent="0.35">
      <c r="A36" s="369"/>
      <c r="B36" s="60" t="s">
        <v>5</v>
      </c>
      <c r="C36" s="60"/>
      <c r="D36" s="60"/>
      <c r="E36" s="60"/>
      <c r="F36" s="60"/>
      <c r="G36" s="405">
        <f>G20</f>
        <v>2022</v>
      </c>
      <c r="H36" s="405"/>
      <c r="I36" s="405">
        <f>I20</f>
        <v>2023</v>
      </c>
      <c r="J36" s="405"/>
      <c r="K36" s="405">
        <f>K20</f>
        <v>2024</v>
      </c>
      <c r="L36" s="405"/>
      <c r="M36" s="414"/>
      <c r="N36" s="415"/>
      <c r="O36" s="33"/>
      <c r="P36" s="369"/>
      <c r="Q36" s="146"/>
      <c r="R36" s="79"/>
      <c r="S36" s="79">
        <v>2028</v>
      </c>
      <c r="T36" s="79">
        <f>S36+1</f>
        <v>2029</v>
      </c>
      <c r="U36" s="79">
        <f t="shared" ref="U36:Y36" si="19">T36+1</f>
        <v>2030</v>
      </c>
      <c r="V36" s="79">
        <f t="shared" si="19"/>
        <v>2031</v>
      </c>
      <c r="W36" s="79">
        <f t="shared" si="19"/>
        <v>2032</v>
      </c>
      <c r="X36" s="79">
        <f t="shared" si="19"/>
        <v>2033</v>
      </c>
      <c r="Y36" s="79">
        <f t="shared" si="19"/>
        <v>2034</v>
      </c>
    </row>
    <row r="37" spans="1:36" ht="15" customHeight="1" x14ac:dyDescent="0.35">
      <c r="A37" s="369"/>
      <c r="B37" s="135" t="str">
        <f>B29</f>
        <v xml:space="preserve">Personnel </v>
      </c>
      <c r="C37" s="20"/>
      <c r="D37" s="20"/>
      <c r="E37" s="20"/>
      <c r="F37" s="20"/>
      <c r="G37" s="377">
        <f>G29/G24</f>
        <v>0.40520580159889447</v>
      </c>
      <c r="H37" s="377"/>
      <c r="I37" s="377">
        <f>I29/I24</f>
        <v>0.52706941135924712</v>
      </c>
      <c r="J37" s="377"/>
      <c r="K37" s="377">
        <f>K29/K24</f>
        <v>0.55340231457675537</v>
      </c>
      <c r="L37" s="377"/>
      <c r="M37" s="399"/>
      <c r="N37" s="400"/>
      <c r="O37" s="33"/>
      <c r="P37" s="369"/>
      <c r="Q37" s="147"/>
      <c r="R37" s="34" t="s">
        <v>0</v>
      </c>
      <c r="S37" s="35">
        <f>W25</f>
        <v>238948</v>
      </c>
      <c r="T37" s="29">
        <f>$Y25</f>
        <v>336392.16000000015</v>
      </c>
      <c r="U37" s="29">
        <f t="shared" ref="U37:Y37" si="20">$Y25</f>
        <v>336392.16000000015</v>
      </c>
      <c r="V37" s="29">
        <f t="shared" si="20"/>
        <v>336392.16000000015</v>
      </c>
      <c r="W37" s="29">
        <f t="shared" si="20"/>
        <v>336392.16000000015</v>
      </c>
      <c r="X37" s="29">
        <f t="shared" si="20"/>
        <v>336392.16000000015</v>
      </c>
      <c r="Y37" s="148">
        <f t="shared" si="20"/>
        <v>336392.16000000015</v>
      </c>
    </row>
    <row r="38" spans="1:36" ht="15" customHeight="1" x14ac:dyDescent="0.35">
      <c r="A38" s="369"/>
      <c r="B38" s="125" t="s">
        <v>25</v>
      </c>
      <c r="C38" s="24"/>
      <c r="D38" s="24"/>
      <c r="E38" s="24"/>
      <c r="F38" s="24"/>
      <c r="G38" s="401">
        <f>G30/G24</f>
        <v>0.4890735139918419</v>
      </c>
      <c r="H38" s="401"/>
      <c r="I38" s="401">
        <f>I30/I24</f>
        <v>0.36051076078733979</v>
      </c>
      <c r="J38" s="401"/>
      <c r="K38" s="401">
        <f>K30/K24</f>
        <v>0.35909185148787043</v>
      </c>
      <c r="L38" s="401"/>
      <c r="M38" s="371"/>
      <c r="N38" s="372"/>
      <c r="O38" s="33"/>
      <c r="P38" s="369"/>
      <c r="Q38" s="149"/>
      <c r="R38" s="34" t="s">
        <v>49</v>
      </c>
      <c r="S38" s="36">
        <v>0</v>
      </c>
      <c r="T38" s="9">
        <v>0</v>
      </c>
      <c r="U38" s="9">
        <v>0</v>
      </c>
      <c r="V38" s="9">
        <v>0</v>
      </c>
      <c r="W38" s="9">
        <v>0</v>
      </c>
      <c r="X38" s="9">
        <v>0</v>
      </c>
      <c r="Y38" s="37">
        <v>0</v>
      </c>
    </row>
    <row r="39" spans="1:36" ht="15" customHeight="1" thickBot="1" x14ac:dyDescent="0.4">
      <c r="A39" s="369"/>
      <c r="B39" s="125" t="s">
        <v>26</v>
      </c>
      <c r="C39" s="24"/>
      <c r="D39" s="24"/>
      <c r="E39" s="24"/>
      <c r="F39" s="24"/>
      <c r="G39" s="401">
        <f>G31/G24</f>
        <v>0.10572068440926365</v>
      </c>
      <c r="H39" s="401"/>
      <c r="I39" s="401">
        <f>I31/I24</f>
        <v>0.11241982785341313</v>
      </c>
      <c r="J39" s="401"/>
      <c r="K39" s="401">
        <f>K31/K24</f>
        <v>8.7505833935374158E-2</v>
      </c>
      <c r="L39" s="401"/>
      <c r="M39" s="371"/>
      <c r="N39" s="372"/>
      <c r="O39" s="33"/>
      <c r="P39" s="369"/>
      <c r="Q39" s="150"/>
      <c r="R39" s="38" t="s">
        <v>4</v>
      </c>
      <c r="S39" s="39">
        <f t="shared" ref="S39:Y39" si="21">SUM(S37:S38)</f>
        <v>238948</v>
      </c>
      <c r="T39" s="40">
        <f t="shared" si="21"/>
        <v>336392.16000000015</v>
      </c>
      <c r="U39" s="40">
        <f t="shared" si="21"/>
        <v>336392.16000000015</v>
      </c>
      <c r="V39" s="40">
        <f t="shared" si="21"/>
        <v>336392.16000000015</v>
      </c>
      <c r="W39" s="40">
        <f t="shared" si="21"/>
        <v>336392.16000000015</v>
      </c>
      <c r="X39" s="40">
        <f t="shared" si="21"/>
        <v>336392.16000000015</v>
      </c>
      <c r="Y39" s="41">
        <f t="shared" si="21"/>
        <v>336392.16000000015</v>
      </c>
    </row>
    <row r="40" spans="1:36" ht="15" customHeight="1" thickTop="1" thickBot="1" x14ac:dyDescent="0.4">
      <c r="A40" s="369"/>
      <c r="B40" s="125" t="s">
        <v>10</v>
      </c>
      <c r="C40" s="24"/>
      <c r="D40" s="24"/>
      <c r="E40" s="24"/>
      <c r="F40" s="24"/>
      <c r="G40" s="370">
        <f>G32/G24</f>
        <v>0</v>
      </c>
      <c r="H40" s="370"/>
      <c r="I40" s="370">
        <f>I32/I24</f>
        <v>0</v>
      </c>
      <c r="J40" s="370"/>
      <c r="K40" s="370">
        <f>K32/K24</f>
        <v>0</v>
      </c>
      <c r="L40" s="370"/>
      <c r="M40" s="371"/>
      <c r="N40" s="372"/>
      <c r="O40" s="33"/>
      <c r="P40" s="369"/>
      <c r="Q40" s="150" t="s">
        <v>48</v>
      </c>
      <c r="R40" s="58">
        <f>X7</f>
        <v>4500000</v>
      </c>
      <c r="S40" s="59">
        <f>R40-S39</f>
        <v>4261052</v>
      </c>
      <c r="T40" s="42">
        <f t="shared" ref="T40:V40" si="22">S40-T39</f>
        <v>3924659.84</v>
      </c>
      <c r="U40" s="42">
        <f t="shared" si="22"/>
        <v>3588267.6799999997</v>
      </c>
      <c r="V40" s="42">
        <f t="shared" si="22"/>
        <v>3251875.5199999996</v>
      </c>
      <c r="W40" s="42">
        <f t="shared" ref="W40" si="23">V40-W39</f>
        <v>2915483.3599999994</v>
      </c>
      <c r="X40" s="42">
        <f t="shared" ref="X40:Y40" si="24">W40-X39</f>
        <v>2579091.1999999993</v>
      </c>
      <c r="Y40" s="43">
        <f t="shared" si="24"/>
        <v>2242699.0399999991</v>
      </c>
    </row>
    <row r="41" spans="1:36" ht="15" customHeight="1" thickTop="1" thickBot="1" x14ac:dyDescent="0.4">
      <c r="A41" s="369"/>
      <c r="B41" s="141"/>
      <c r="C41" s="142"/>
      <c r="D41" s="142"/>
      <c r="E41" s="142"/>
      <c r="F41" s="143"/>
      <c r="G41" s="376">
        <f>SUM(G37:G40)</f>
        <v>1</v>
      </c>
      <c r="H41" s="376"/>
      <c r="I41" s="376">
        <f>SUM(I37:I40)</f>
        <v>1</v>
      </c>
      <c r="J41" s="376"/>
      <c r="K41" s="376">
        <f>SUM(K37:K40)</f>
        <v>0.99999999999999989</v>
      </c>
      <c r="L41" s="376"/>
      <c r="M41" s="416"/>
      <c r="N41" s="417"/>
      <c r="O41" s="33"/>
      <c r="P41" s="369"/>
      <c r="Q41" s="151"/>
      <c r="R41" s="44" t="s">
        <v>64</v>
      </c>
      <c r="S41" s="346">
        <f t="shared" ref="S41:Y41" si="25">S40/$Y5</f>
        <v>0.47345022222222222</v>
      </c>
      <c r="T41" s="346">
        <f t="shared" si="25"/>
        <v>0.43607331555555556</v>
      </c>
      <c r="U41" s="346">
        <f t="shared" si="25"/>
        <v>0.39869640888888885</v>
      </c>
      <c r="V41" s="346">
        <f t="shared" si="25"/>
        <v>0.3613195022222222</v>
      </c>
      <c r="W41" s="346">
        <f t="shared" si="25"/>
        <v>0.32394259555555549</v>
      </c>
      <c r="X41" s="346">
        <f t="shared" si="25"/>
        <v>0.28656568888888878</v>
      </c>
      <c r="Y41" s="347">
        <f t="shared" si="25"/>
        <v>0.24918878222222213</v>
      </c>
    </row>
    <row r="42" spans="1:36" ht="17" customHeight="1" thickBot="1" x14ac:dyDescent="0.4">
      <c r="P42" s="69"/>
    </row>
    <row r="43" spans="1:36" ht="15.75" customHeight="1" thickBot="1" x14ac:dyDescent="0.4">
      <c r="A43" s="354" t="s">
        <v>77</v>
      </c>
      <c r="B43" s="393" t="s">
        <v>75</v>
      </c>
      <c r="C43" s="394"/>
      <c r="D43" s="394"/>
      <c r="E43" s="394"/>
      <c r="F43" s="394"/>
      <c r="H43" s="368" t="s">
        <v>78</v>
      </c>
      <c r="I43" s="451" t="s">
        <v>41</v>
      </c>
      <c r="J43" s="452"/>
      <c r="K43" s="452"/>
      <c r="L43" s="452"/>
      <c r="M43" s="452"/>
      <c r="AI43" s="105"/>
      <c r="AJ43" s="105"/>
    </row>
    <row r="44" spans="1:36" ht="16.5" customHeight="1" thickBot="1" x14ac:dyDescent="0.4">
      <c r="A44" s="355"/>
      <c r="B44" s="356" t="s">
        <v>74</v>
      </c>
      <c r="C44" s="357"/>
      <c r="D44" s="358"/>
      <c r="E44" s="463">
        <f>-Y5</f>
        <v>-9000000</v>
      </c>
      <c r="F44" s="464"/>
      <c r="H44" s="369"/>
      <c r="I44" s="445" t="s">
        <v>80</v>
      </c>
      <c r="J44" s="446"/>
      <c r="K44" s="447"/>
      <c r="L44" s="453">
        <f>Q23</f>
        <v>2641793.2799999998</v>
      </c>
      <c r="M44" s="454"/>
      <c r="AI44" s="328"/>
      <c r="AJ44" s="328"/>
    </row>
    <row r="45" spans="1:36" ht="15" customHeight="1" thickBot="1" x14ac:dyDescent="0.4">
      <c r="A45" s="355"/>
      <c r="B45" s="359" t="s">
        <v>73</v>
      </c>
      <c r="C45" s="360"/>
      <c r="D45" s="361"/>
      <c r="E45" s="465">
        <v>900000</v>
      </c>
      <c r="F45" s="466"/>
      <c r="H45" s="369"/>
      <c r="I45" s="445" t="s">
        <v>90</v>
      </c>
      <c r="J45" s="446"/>
      <c r="K45" s="447"/>
      <c r="L45" s="455">
        <f>L44*2</f>
        <v>5283586.5599999996</v>
      </c>
      <c r="M45" s="456"/>
      <c r="U45" s="302"/>
      <c r="AI45" s="329"/>
      <c r="AJ45" s="329"/>
    </row>
    <row r="46" spans="1:36" ht="15" customHeight="1" thickBot="1" x14ac:dyDescent="0.4">
      <c r="A46" s="355"/>
      <c r="B46" s="359" t="s">
        <v>69</v>
      </c>
      <c r="C46" s="360"/>
      <c r="D46" s="361"/>
      <c r="E46" s="467">
        <v>3200000</v>
      </c>
      <c r="F46" s="468"/>
      <c r="H46" s="369"/>
      <c r="I46" s="445" t="s">
        <v>42</v>
      </c>
      <c r="J46" s="446"/>
      <c r="K46" s="447"/>
      <c r="L46" s="457">
        <v>0</v>
      </c>
      <c r="M46" s="458"/>
      <c r="U46" s="301"/>
      <c r="AI46" s="329"/>
      <c r="AJ46" s="329"/>
    </row>
    <row r="47" spans="1:36" ht="14.4" customHeight="1" thickBot="1" x14ac:dyDescent="0.4">
      <c r="A47" s="355"/>
      <c r="B47" s="359" t="s">
        <v>0</v>
      </c>
      <c r="C47" s="360"/>
      <c r="D47" s="361"/>
      <c r="E47" s="469">
        <f>(Q25-Q24)+(S25-S24)</f>
        <v>448867.31976000033</v>
      </c>
      <c r="F47" s="470"/>
      <c r="H47" s="369"/>
      <c r="I47" s="448" t="s">
        <v>41</v>
      </c>
      <c r="J47" s="449"/>
      <c r="K47" s="450"/>
      <c r="L47" s="459">
        <f>L45-L46</f>
        <v>5283586.5599999996</v>
      </c>
      <c r="M47" s="460"/>
      <c r="AI47" s="329"/>
      <c r="AJ47" s="329"/>
    </row>
    <row r="48" spans="1:36" ht="14.4" customHeight="1" thickBot="1" x14ac:dyDescent="0.4">
      <c r="A48" s="355"/>
      <c r="B48" s="362" t="s">
        <v>76</v>
      </c>
      <c r="C48" s="363"/>
      <c r="D48" s="364"/>
      <c r="E48" s="391">
        <f>SUM(E44:E47)</f>
        <v>-4451132.6802399997</v>
      </c>
      <c r="F48" s="392"/>
      <c r="AI48" s="329"/>
      <c r="AJ48" s="329"/>
    </row>
    <row r="49" spans="1:16" ht="14.4" customHeight="1" x14ac:dyDescent="0.35">
      <c r="A49" s="69"/>
      <c r="F49" s="69"/>
      <c r="G49" s="33"/>
      <c r="H49" s="33"/>
      <c r="P49" s="69"/>
    </row>
    <row r="50" spans="1:16" ht="15" customHeight="1" x14ac:dyDescent="0.35"/>
    <row r="51" spans="1:16" ht="15" customHeight="1" x14ac:dyDescent="0.35"/>
    <row r="52" spans="1:16" ht="15" customHeight="1" x14ac:dyDescent="0.35"/>
    <row r="53" spans="1:16" ht="15" customHeight="1" x14ac:dyDescent="0.35"/>
    <row r="54" spans="1:16" ht="15" customHeight="1" x14ac:dyDescent="0.35"/>
    <row r="55" spans="1:16" ht="15" customHeight="1" x14ac:dyDescent="0.35"/>
  </sheetData>
  <mergeCells count="120">
    <mergeCell ref="I45:K45"/>
    <mergeCell ref="I46:K46"/>
    <mergeCell ref="I47:K47"/>
    <mergeCell ref="I43:M43"/>
    <mergeCell ref="L44:M44"/>
    <mergeCell ref="L45:M45"/>
    <mergeCell ref="L46:M46"/>
    <mergeCell ref="L47:M47"/>
    <mergeCell ref="B19:F19"/>
    <mergeCell ref="H43:H47"/>
    <mergeCell ref="I44:K44"/>
    <mergeCell ref="E44:F44"/>
    <mergeCell ref="E45:F45"/>
    <mergeCell ref="E46:F46"/>
    <mergeCell ref="E47:F47"/>
    <mergeCell ref="Z20:AA20"/>
    <mergeCell ref="B2:N2"/>
    <mergeCell ref="Q2:T2"/>
    <mergeCell ref="N4:N5"/>
    <mergeCell ref="Q10:W11"/>
    <mergeCell ref="B6:H6"/>
    <mergeCell ref="Q35:Y35"/>
    <mergeCell ref="P17:Y17"/>
    <mergeCell ref="G24:H24"/>
    <mergeCell ref="I24:J24"/>
    <mergeCell ref="K24:L24"/>
    <mergeCell ref="M24:N24"/>
    <mergeCell ref="X20:Y20"/>
    <mergeCell ref="K25:L25"/>
    <mergeCell ref="M25:N25"/>
    <mergeCell ref="G26:H26"/>
    <mergeCell ref="I26:J26"/>
    <mergeCell ref="K26:L26"/>
    <mergeCell ref="M26:N26"/>
    <mergeCell ref="G29:H29"/>
    <mergeCell ref="I29:J29"/>
    <mergeCell ref="K29:L29"/>
    <mergeCell ref="P35:P41"/>
    <mergeCell ref="A35:A41"/>
    <mergeCell ref="B17:N17"/>
    <mergeCell ref="G21:H21"/>
    <mergeCell ref="I21:J21"/>
    <mergeCell ref="K21:L21"/>
    <mergeCell ref="M21:N21"/>
    <mergeCell ref="G25:H25"/>
    <mergeCell ref="I25:J25"/>
    <mergeCell ref="M23:N23"/>
    <mergeCell ref="K36:L36"/>
    <mergeCell ref="M36:N36"/>
    <mergeCell ref="M41:N41"/>
    <mergeCell ref="G39:H39"/>
    <mergeCell ref="I39:J39"/>
    <mergeCell ref="K39:L39"/>
    <mergeCell ref="M39:N39"/>
    <mergeCell ref="G40:H40"/>
    <mergeCell ref="I40:J40"/>
    <mergeCell ref="K32:L32"/>
    <mergeCell ref="M22:N22"/>
    <mergeCell ref="E48:F48"/>
    <mergeCell ref="B43:F43"/>
    <mergeCell ref="M32:N32"/>
    <mergeCell ref="M31:N31"/>
    <mergeCell ref="M29:N29"/>
    <mergeCell ref="G31:H31"/>
    <mergeCell ref="I31:J31"/>
    <mergeCell ref="K31:L31"/>
    <mergeCell ref="M30:N30"/>
    <mergeCell ref="M37:N37"/>
    <mergeCell ref="G38:H38"/>
    <mergeCell ref="I38:J38"/>
    <mergeCell ref="K38:L38"/>
    <mergeCell ref="M38:N38"/>
    <mergeCell ref="G33:H33"/>
    <mergeCell ref="I33:J33"/>
    <mergeCell ref="K33:L33"/>
    <mergeCell ref="M33:N33"/>
    <mergeCell ref="G36:H36"/>
    <mergeCell ref="I36:J36"/>
    <mergeCell ref="I30:J30"/>
    <mergeCell ref="K30:L30"/>
    <mergeCell ref="G32:H32"/>
    <mergeCell ref="I32:J32"/>
    <mergeCell ref="A2:A15"/>
    <mergeCell ref="V20:W20"/>
    <mergeCell ref="M4:M5"/>
    <mergeCell ref="G20:H20"/>
    <mergeCell ref="I20:J20"/>
    <mergeCell ref="K20:L20"/>
    <mergeCell ref="M20:N20"/>
    <mergeCell ref="T19:Y19"/>
    <mergeCell ref="P19:S19"/>
    <mergeCell ref="U2:U8"/>
    <mergeCell ref="A17:A33"/>
    <mergeCell ref="R20:S20"/>
    <mergeCell ref="T20:U20"/>
    <mergeCell ref="P20:Q20"/>
    <mergeCell ref="A43:A48"/>
    <mergeCell ref="B44:D44"/>
    <mergeCell ref="B45:D45"/>
    <mergeCell ref="B46:D46"/>
    <mergeCell ref="B47:D47"/>
    <mergeCell ref="B48:D48"/>
    <mergeCell ref="V2:Y2"/>
    <mergeCell ref="P2:P8"/>
    <mergeCell ref="P10:P15"/>
    <mergeCell ref="K40:L40"/>
    <mergeCell ref="M40:N40"/>
    <mergeCell ref="G22:H22"/>
    <mergeCell ref="I22:J22"/>
    <mergeCell ref="K22:L22"/>
    <mergeCell ref="G23:H23"/>
    <mergeCell ref="I23:J23"/>
    <mergeCell ref="K23:L23"/>
    <mergeCell ref="G41:H41"/>
    <mergeCell ref="I41:J41"/>
    <mergeCell ref="K41:L41"/>
    <mergeCell ref="G37:H37"/>
    <mergeCell ref="I37:J37"/>
    <mergeCell ref="K37:L37"/>
    <mergeCell ref="G30:H30"/>
  </mergeCells>
  <printOptions horizontalCentered="1" verticalCentered="1"/>
  <pageMargins left="0.4" right="0.32" top="0.75" bottom="1.1299999999999999" header="0.53" footer="0.56000000000000005"/>
  <pageSetup paperSize="3" scale="78" orientation="landscape" r:id="rId1"/>
  <headerFooter>
    <oddFooter>&amp;L&amp;G&amp;C&amp;"Proxima Nova,Bold Italic"Prepared By:&amp;"Proxima Nova,Regular" &amp;R&amp;"Proxima Nova,Regular"Insert Date Here</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7"/>
  <sheetViews>
    <sheetView topLeftCell="A8" zoomScaleNormal="100" workbookViewId="0">
      <selection activeCell="B10" sqref="B10"/>
    </sheetView>
  </sheetViews>
  <sheetFormatPr defaultRowHeight="14.5" x14ac:dyDescent="0.35"/>
  <cols>
    <col min="1" max="1" width="9.08984375" style="153" customWidth="1"/>
    <col min="2" max="2" width="89.36328125" customWidth="1"/>
  </cols>
  <sheetData>
    <row r="1" spans="1:2" ht="60.75" customHeight="1" thickBot="1" x14ac:dyDescent="0.4"/>
    <row r="2" spans="1:2" ht="20.25" customHeight="1" x14ac:dyDescent="0.35">
      <c r="A2" s="80" t="s">
        <v>29</v>
      </c>
      <c r="B2" s="81" t="s">
        <v>44</v>
      </c>
    </row>
    <row r="3" spans="1:2" ht="4.5" customHeight="1" x14ac:dyDescent="0.35">
      <c r="A3" s="156"/>
      <c r="B3" s="157"/>
    </row>
    <row r="4" spans="1:2" ht="91" customHeight="1" x14ac:dyDescent="0.35">
      <c r="A4" s="203">
        <v>1</v>
      </c>
      <c r="B4" s="204" t="s">
        <v>93</v>
      </c>
    </row>
    <row r="5" spans="1:2" ht="70" customHeight="1" x14ac:dyDescent="0.35">
      <c r="A5" s="203">
        <f>A4+1</f>
        <v>2</v>
      </c>
      <c r="B5" s="204" t="s">
        <v>94</v>
      </c>
    </row>
    <row r="6" spans="1:2" ht="49.5" customHeight="1" x14ac:dyDescent="0.35">
      <c r="A6" s="203">
        <f t="shared" ref="A6:A11" si="0">A5+1</f>
        <v>3</v>
      </c>
      <c r="B6" s="205" t="s">
        <v>95</v>
      </c>
    </row>
    <row r="7" spans="1:2" ht="85.5" customHeight="1" x14ac:dyDescent="0.35">
      <c r="A7" s="203">
        <f t="shared" si="0"/>
        <v>4</v>
      </c>
      <c r="B7" s="330" t="s">
        <v>96</v>
      </c>
    </row>
    <row r="8" spans="1:2" ht="59" customHeight="1" x14ac:dyDescent="0.35">
      <c r="A8" s="203">
        <f t="shared" si="0"/>
        <v>5</v>
      </c>
      <c r="B8" s="204" t="s">
        <v>88</v>
      </c>
    </row>
    <row r="9" spans="1:2" ht="126" customHeight="1" x14ac:dyDescent="0.35">
      <c r="A9" s="203">
        <f t="shared" si="0"/>
        <v>6</v>
      </c>
      <c r="B9" s="204" t="s">
        <v>97</v>
      </c>
    </row>
    <row r="10" spans="1:2" ht="98.5" customHeight="1" x14ac:dyDescent="0.35">
      <c r="A10" s="203">
        <f t="shared" si="0"/>
        <v>7</v>
      </c>
      <c r="B10" s="204" t="s">
        <v>98</v>
      </c>
    </row>
    <row r="11" spans="1:2" ht="35" customHeight="1" thickBot="1" x14ac:dyDescent="0.4">
      <c r="A11" s="331">
        <f t="shared" si="0"/>
        <v>8</v>
      </c>
      <c r="B11" s="332" t="s">
        <v>87</v>
      </c>
    </row>
    <row r="12" spans="1:2" x14ac:dyDescent="0.35">
      <c r="A12" s="203"/>
      <c r="B12" s="206"/>
    </row>
    <row r="13" spans="1:2" x14ac:dyDescent="0.35">
      <c r="A13" s="203"/>
      <c r="B13" s="207"/>
    </row>
    <row r="14" spans="1:2" x14ac:dyDescent="0.35">
      <c r="A14" s="203"/>
      <c r="B14" s="207"/>
    </row>
    <row r="15" spans="1:2" x14ac:dyDescent="0.35">
      <c r="A15" s="203"/>
      <c r="B15" s="207"/>
    </row>
    <row r="16" spans="1:2" x14ac:dyDescent="0.35">
      <c r="A16" s="203"/>
      <c r="B16" s="207"/>
    </row>
    <row r="17" spans="1:2" x14ac:dyDescent="0.35">
      <c r="A17" s="203"/>
      <c r="B17" s="207"/>
    </row>
    <row r="18" spans="1:2" x14ac:dyDescent="0.35">
      <c r="A18" s="203"/>
      <c r="B18" s="207"/>
    </row>
    <row r="19" spans="1:2" ht="16" x14ac:dyDescent="0.4">
      <c r="A19" s="152"/>
      <c r="B19" s="154"/>
    </row>
    <row r="20" spans="1:2" ht="16" x14ac:dyDescent="0.4">
      <c r="A20" s="152"/>
      <c r="B20" s="154"/>
    </row>
    <row r="21" spans="1:2" ht="16" x14ac:dyDescent="0.4">
      <c r="A21" s="152"/>
      <c r="B21" s="154"/>
    </row>
    <row r="22" spans="1:2" ht="16" x14ac:dyDescent="0.4">
      <c r="A22" s="152"/>
      <c r="B22" s="154"/>
    </row>
    <row r="23" spans="1:2" ht="16" x14ac:dyDescent="0.4">
      <c r="A23" s="152"/>
      <c r="B23" s="154"/>
    </row>
    <row r="24" spans="1:2" ht="16" x14ac:dyDescent="0.4">
      <c r="A24" s="152"/>
      <c r="B24" s="154"/>
    </row>
    <row r="25" spans="1:2" ht="16" x14ac:dyDescent="0.4">
      <c r="A25" s="152"/>
      <c r="B25" s="154"/>
    </row>
    <row r="26" spans="1:2" ht="16" x14ac:dyDescent="0.4">
      <c r="A26" s="152"/>
      <c r="B26" s="154"/>
    </row>
    <row r="27" spans="1:2" ht="16" x14ac:dyDescent="0.4">
      <c r="A27" s="152"/>
      <c r="B27" s="154"/>
    </row>
    <row r="28" spans="1:2" ht="15" x14ac:dyDescent="0.4">
      <c r="A28" s="14"/>
      <c r="B28" s="154"/>
    </row>
    <row r="29" spans="1:2" ht="15" x14ac:dyDescent="0.4">
      <c r="A29" s="14"/>
      <c r="B29" s="154"/>
    </row>
    <row r="30" spans="1:2" ht="15" x14ac:dyDescent="0.4">
      <c r="A30" s="14"/>
      <c r="B30" s="154"/>
    </row>
    <row r="31" spans="1:2" ht="15" x14ac:dyDescent="0.4">
      <c r="A31" s="14"/>
      <c r="B31" s="154"/>
    </row>
    <row r="32" spans="1:2" ht="15" x14ac:dyDescent="0.4">
      <c r="A32" s="14"/>
      <c r="B32" s="154"/>
    </row>
    <row r="33" spans="1:2" ht="15" x14ac:dyDescent="0.4">
      <c r="A33" s="14"/>
      <c r="B33" s="154"/>
    </row>
    <row r="34" spans="1:2" ht="15" x14ac:dyDescent="0.4">
      <c r="A34" s="14"/>
      <c r="B34" s="154"/>
    </row>
    <row r="35" spans="1:2" ht="15" x14ac:dyDescent="0.4">
      <c r="A35" s="14"/>
      <c r="B35" s="154"/>
    </row>
    <row r="36" spans="1:2" ht="15" x14ac:dyDescent="0.4">
      <c r="A36" s="14"/>
      <c r="B36" s="154"/>
    </row>
    <row r="37" spans="1:2" x14ac:dyDescent="0.35">
      <c r="B37" s="155"/>
    </row>
  </sheetData>
  <pageMargins left="0.7" right="0.7" top="0.75" bottom="1.1599999999999999" header="0.3" footer="0.61"/>
  <pageSetup scale="91" orientation="portrait" r:id="rId1"/>
  <headerFooter>
    <oddFooter>&amp;L&amp;G&amp;CPrepared By: Scott McLean&amp;RMarch 27, 2019</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94774f-fb83-4fed-b821-e18d48848469">
      <Terms xmlns="http://schemas.microsoft.com/office/infopath/2007/PartnerControls"/>
    </lcf76f155ced4ddcb4097134ff3c332f>
    <TaxCatchAll xmlns="aa08f228-8477-4482-8ace-969fabb20d1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8336036A1087143AA3DE42646F2A439" ma:contentTypeVersion="17" ma:contentTypeDescription="Create a new document." ma:contentTypeScope="" ma:versionID="2795e2a5c65d4e559c57e7161a52f92a">
  <xsd:schema xmlns:xsd="http://www.w3.org/2001/XMLSchema" xmlns:xs="http://www.w3.org/2001/XMLSchema" xmlns:p="http://schemas.microsoft.com/office/2006/metadata/properties" xmlns:ns2="aa08f228-8477-4482-8ace-969fabb20d19" xmlns:ns3="a394774f-fb83-4fed-b821-e18d48848469" targetNamespace="http://schemas.microsoft.com/office/2006/metadata/properties" ma:root="true" ma:fieldsID="9d7bab733bebeacccf245ca317946889" ns2:_="" ns3:_="">
    <xsd:import namespace="aa08f228-8477-4482-8ace-969fabb20d19"/>
    <xsd:import namespace="a394774f-fb83-4fed-b821-e18d4884846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08f228-8477-4482-8ace-969fabb20d19"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TaxCatchAll" ma:index="22" nillable="true" ma:displayName="Taxonomy Catch All Column" ma:hidden="true" ma:list="{97f87838-f9e5-47e3-a698-afc2ffd1640a}" ma:internalName="TaxCatchAll" ma:showField="CatchAllData" ma:web="aa08f228-8477-4482-8ace-969fabb20d1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394774f-fb83-4fed-b821-e18d48848469"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description=""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6c1dd75-6ec8-4366-a255-559425175b6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2A5192-569A-4351-8C47-9B649EA85016}">
  <ds:schemaRefs>
    <ds:schemaRef ds:uri="http://purl.org/dc/dcmitype/"/>
    <ds:schemaRef ds:uri="http://schemas.microsoft.com/office/2006/documentManagement/types"/>
    <ds:schemaRef ds:uri="http://schemas.microsoft.com/office/2006/metadata/properties"/>
    <ds:schemaRef ds:uri="http://purl.org/dc/elements/1.1/"/>
    <ds:schemaRef ds:uri="a394774f-fb83-4fed-b821-e18d48848469"/>
    <ds:schemaRef ds:uri="http://purl.org/dc/terms/"/>
    <ds:schemaRef ds:uri="http://schemas.microsoft.com/office/infopath/2007/PartnerControls"/>
    <ds:schemaRef ds:uri="aa08f228-8477-4482-8ace-969fabb20d19"/>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101F26C1-E1E3-41CF-A9A0-A9339330EA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08f228-8477-4482-8ace-969fabb20d19"/>
    <ds:schemaRef ds:uri="a394774f-fb83-4fed-b821-e18d488484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00AB96-341D-41C5-A041-9C490D3DB1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Attendance</vt:lpstr>
      <vt:lpstr>Projections</vt:lpstr>
      <vt:lpstr>Observations</vt:lpstr>
      <vt:lpstr>Observations!Print_Area</vt:lpstr>
      <vt:lpstr>Projections!Print_Area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McLean</dc:creator>
  <cp:lastModifiedBy>Scott McLean</cp:lastModifiedBy>
  <cp:lastPrinted>2025-02-13T21:26:34Z</cp:lastPrinted>
  <dcterms:created xsi:type="dcterms:W3CDTF">2010-07-08T23:08:49Z</dcterms:created>
  <dcterms:modified xsi:type="dcterms:W3CDTF">2025-02-13T21:26:56Z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0x010100F8336036A1087143AA3DE42646F2A439</vt:lpwstr>
  </property>
  <property fmtid="{D5CDD505-2E9C-101B-9397-08002B2CF9AE}" pid="3" name="AuthorIds_UIVersion_1536">
    <vt:lpwstr>12</vt:lpwstr>
  </property>
  <property fmtid="{D5CDD505-2E9C-101B-9397-08002B2CF9AE}" pid="4" name="AuthorIds_UIVersion_6656">
    <vt:lpwstr>12</vt:lpwstr>
  </property>
  <property fmtid="{D5CDD505-2E9C-101B-9397-08002B2CF9AE}" pid="5" name="MediaServiceImageTags">
    <vt:lpwstr/>
  </property>
</Properties>
</file>