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developco-my.sharepoint.com/personal/scott_developco_com/Documents/Development Advisors/Church/Resources/"/>
    </mc:Choice>
  </mc:AlternateContent>
  <xr:revisionPtr revIDLastSave="33" documentId="8_{81EF2FA8-293B-453D-B34E-338486838832}" xr6:coauthVersionLast="47" xr6:coauthVersionMax="47" xr10:uidLastSave="{1007E7F7-F7FE-4BFF-B80A-8BF8699F335F}"/>
  <bookViews>
    <workbookView xWindow="-110" yWindow="-110" windowWidth="19420" windowHeight="11500" xr2:uid="{00000000-000D-0000-FFFF-FFFF00000000}"/>
  </bookViews>
  <sheets>
    <sheet name="Financial Scenario" sheetId="1" r:id="rId1"/>
    <sheet name="Data" sheetId="3" r:id="rId2"/>
    <sheet name="Space Allocations" sheetId="2" r:id="rId3"/>
  </sheets>
  <definedNames>
    <definedName name="_xlnm.Print_Area" localSheetId="0">'Financial Scenario'!$B$1:$H$157</definedName>
    <definedName name="_xlnm.Print_Titles" localSheetId="0">'Financial Scenario'!$1:$1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8" i="1" l="1"/>
  <c r="E128" i="1"/>
  <c r="H113" i="1"/>
  <c r="D71" i="1"/>
  <c r="D72" i="1" s="1"/>
  <c r="D73" i="1"/>
  <c r="D67" i="1"/>
  <c r="D66" i="1"/>
  <c r="C66" i="1"/>
  <c r="D104" i="1"/>
  <c r="D116" i="1" s="1"/>
  <c r="D118" i="1" s="1"/>
  <c r="H116" i="1"/>
  <c r="H118" i="1"/>
  <c r="C119" i="1"/>
  <c r="H119" i="1"/>
  <c r="H120" i="1"/>
  <c r="D7" i="1"/>
  <c r="E42" i="1" s="1"/>
  <c r="E7" i="2"/>
  <c r="E8" i="2"/>
  <c r="E9" i="2"/>
  <c r="E10" i="2"/>
  <c r="E11" i="2"/>
  <c r="E5" i="2"/>
  <c r="E12" i="2"/>
  <c r="F7" i="2"/>
  <c r="F13" i="2" s="1"/>
  <c r="F8" i="2"/>
  <c r="F9" i="2"/>
  <c r="F10" i="2"/>
  <c r="F11" i="2"/>
  <c r="F5" i="2"/>
  <c r="F12" i="2"/>
  <c r="G7" i="2"/>
  <c r="G14" i="2" s="1"/>
  <c r="G8" i="2"/>
  <c r="G9" i="2"/>
  <c r="G10" i="2"/>
  <c r="G11" i="2"/>
  <c r="G5" i="2"/>
  <c r="G12" i="2"/>
  <c r="G13" i="2"/>
  <c r="H7" i="2"/>
  <c r="H8" i="2"/>
  <c r="H9" i="2"/>
  <c r="H10" i="2"/>
  <c r="H11" i="2"/>
  <c r="H5" i="2"/>
  <c r="H12" i="2"/>
  <c r="H13" i="2"/>
  <c r="H14" i="2"/>
  <c r="I7" i="2"/>
  <c r="I13" i="2" s="1"/>
  <c r="I8" i="2"/>
  <c r="I9" i="2"/>
  <c r="I10" i="2"/>
  <c r="I11" i="2"/>
  <c r="I5" i="2"/>
  <c r="I12" i="2"/>
  <c r="J7" i="2"/>
  <c r="J13" i="2" s="1"/>
  <c r="J8" i="2"/>
  <c r="J9" i="2"/>
  <c r="J10" i="2"/>
  <c r="J11" i="2"/>
  <c r="J5" i="2"/>
  <c r="J12" i="2" s="1"/>
  <c r="K7" i="2"/>
  <c r="K14" i="2" s="1"/>
  <c r="K8" i="2"/>
  <c r="K9" i="2"/>
  <c r="K10" i="2"/>
  <c r="K11" i="2"/>
  <c r="K5" i="2"/>
  <c r="K12" i="2"/>
  <c r="K13" i="2"/>
  <c r="L7" i="2"/>
  <c r="L8" i="2"/>
  <c r="L9" i="2"/>
  <c r="L10" i="2"/>
  <c r="L11" i="2"/>
  <c r="L5" i="2"/>
  <c r="L12" i="2"/>
  <c r="L13" i="2"/>
  <c r="L14" i="2"/>
  <c r="M7" i="2"/>
  <c r="M13" i="2" s="1"/>
  <c r="M8" i="2"/>
  <c r="M9" i="2"/>
  <c r="M10" i="2"/>
  <c r="M11" i="2"/>
  <c r="M5" i="2"/>
  <c r="M12" i="2"/>
  <c r="D7" i="2"/>
  <c r="D8" i="2"/>
  <c r="D9" i="2"/>
  <c r="D10" i="2"/>
  <c r="D11" i="2"/>
  <c r="D5" i="2"/>
  <c r="D12" i="2" s="1"/>
  <c r="B19" i="3"/>
  <c r="B17" i="3"/>
  <c r="B15" i="3"/>
  <c r="B14" i="3"/>
  <c r="B12" i="3"/>
  <c r="B10" i="3"/>
  <c r="B9" i="3"/>
  <c r="B5" i="3"/>
  <c r="B4" i="3"/>
  <c r="D148" i="1"/>
  <c r="C147" i="1"/>
  <c r="D125" i="1"/>
  <c r="D81" i="1"/>
  <c r="D16" i="1"/>
  <c r="D17" i="1" s="1"/>
  <c r="H16" i="1"/>
  <c r="H17" i="1"/>
  <c r="G16" i="1"/>
  <c r="G17" i="1"/>
  <c r="F16" i="1"/>
  <c r="F17" i="1"/>
  <c r="E16" i="1"/>
  <c r="E17" i="1" s="1"/>
  <c r="D138" i="1"/>
  <c r="D137" i="1"/>
  <c r="C57" i="1"/>
  <c r="D56" i="1"/>
  <c r="E59" i="1"/>
  <c r="G116" i="1"/>
  <c r="G118" i="1"/>
  <c r="G119" i="1" s="1"/>
  <c r="G120" i="1" s="1"/>
  <c r="F116" i="1"/>
  <c r="F118" i="1"/>
  <c r="E116" i="1"/>
  <c r="E118" i="1" s="1"/>
  <c r="D55" i="1"/>
  <c r="D54" i="1"/>
  <c r="D53" i="1"/>
  <c r="D93" i="1"/>
  <c r="E48" i="1"/>
  <c r="D95" i="1"/>
  <c r="D63" i="1"/>
  <c r="D64" i="1"/>
  <c r="E64" i="1" s="1"/>
  <c r="D94" i="1"/>
  <c r="D105" i="1" s="1"/>
  <c r="D107" i="1" s="1"/>
  <c r="D96" i="1"/>
  <c r="E131" i="1" s="1"/>
  <c r="D139" i="1" s="1"/>
  <c r="D140" i="1" s="1"/>
  <c r="E140" i="1" s="1"/>
  <c r="H21" i="1"/>
  <c r="H22" i="1"/>
  <c r="H25" i="1" s="1"/>
  <c r="C26" i="1"/>
  <c r="H30" i="1"/>
  <c r="H31" i="1"/>
  <c r="H34" i="1"/>
  <c r="C35" i="1"/>
  <c r="G30" i="1"/>
  <c r="G22" i="1"/>
  <c r="E30" i="1"/>
  <c r="E31" i="1" s="1"/>
  <c r="E22" i="1"/>
  <c r="F30" i="1"/>
  <c r="F31" i="1"/>
  <c r="F34" i="1" s="1"/>
  <c r="D30" i="1"/>
  <c r="D22" i="1" s="1"/>
  <c r="D31" i="1"/>
  <c r="D34" i="1" s="1"/>
  <c r="D21" i="1"/>
  <c r="F119" i="1"/>
  <c r="F120" i="1" s="1"/>
  <c r="G21" i="1"/>
  <c r="F21" i="1"/>
  <c r="E21" i="1"/>
  <c r="F22" i="1"/>
  <c r="F25" i="1" s="1"/>
  <c r="G31" i="1"/>
  <c r="G34" i="1" s="1"/>
  <c r="G25" i="1"/>
  <c r="E25" i="1"/>
  <c r="E26" i="1"/>
  <c r="H35" i="1" l="1"/>
  <c r="H26" i="1"/>
  <c r="E34" i="1"/>
  <c r="E35" i="1"/>
  <c r="F26" i="1"/>
  <c r="F35" i="1"/>
  <c r="D25" i="1"/>
  <c r="D26" i="1"/>
  <c r="E69" i="1"/>
  <c r="E67" i="1"/>
  <c r="E75" i="1" s="1"/>
  <c r="D13" i="2"/>
  <c r="D79" i="1"/>
  <c r="D80" i="1" s="1"/>
  <c r="E81" i="1" s="1"/>
  <c r="E119" i="1"/>
  <c r="E120" i="1" s="1"/>
  <c r="D119" i="1"/>
  <c r="D120" i="1" s="1"/>
  <c r="M14" i="2"/>
  <c r="I14" i="2"/>
  <c r="E13" i="2"/>
  <c r="E14" i="2" s="1"/>
  <c r="G26" i="1"/>
  <c r="E130" i="1"/>
  <c r="D142" i="1" s="1"/>
  <c r="D35" i="1"/>
  <c r="D14" i="2"/>
  <c r="J14" i="2"/>
  <c r="F14" i="2"/>
  <c r="G35" i="1"/>
  <c r="E133" i="1" l="1"/>
  <c r="D152" i="1"/>
  <c r="E142" i="1"/>
  <c r="E144" i="1" s="1"/>
  <c r="D146" i="1" s="1"/>
  <c r="D147" i="1" l="1"/>
  <c r="D153" i="1"/>
  <c r="D154" i="1" s="1"/>
  <c r="D1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McLean</author>
  </authors>
  <commentList>
    <comment ref="D16" authorId="0" shapeId="0" xr:uid="{00000000-0006-0000-0000-000001000000}">
      <text>
        <r>
          <rPr>
            <sz val="9"/>
            <color indexed="81"/>
            <rFont val="Tahoma"/>
            <family val="2"/>
          </rPr>
          <t>Based on 50 SF per seat for a fully functioning church facility</t>
        </r>
      </text>
    </comment>
    <comment ref="C17" authorId="0" shapeId="0" xr:uid="{00000000-0006-0000-0000-000002000000}">
      <text>
        <r>
          <rPr>
            <sz val="9"/>
            <color indexed="81"/>
            <rFont val="Tahoma"/>
            <family val="2"/>
          </rPr>
          <t>Total Project Costs: Land, Soft, Hard, Financing and Outfitting</t>
        </r>
      </text>
    </comment>
    <comment ref="C22" authorId="0" shapeId="0" xr:uid="{00000000-0006-0000-0000-000003000000}">
      <text>
        <r>
          <rPr>
            <sz val="9"/>
            <color indexed="81"/>
            <rFont val="Tahoma"/>
            <family val="2"/>
          </rPr>
          <t>Total Project Costs: Building Acquisition, soft costs, renovation costs and outfitting costs.</t>
        </r>
      </text>
    </comment>
    <comment ref="D30" authorId="0" shapeId="0" xr:uid="{00000000-0006-0000-0000-000004000000}">
      <text>
        <r>
          <rPr>
            <sz val="9"/>
            <color indexed="81"/>
            <rFont val="Tahoma"/>
            <family val="2"/>
          </rPr>
          <t>Based on 50 SF per seat for a fully functioning church facility</t>
        </r>
      </text>
    </comment>
    <comment ref="C31" authorId="0" shapeId="0" xr:uid="{00000000-0006-0000-0000-000005000000}">
      <text>
        <r>
          <rPr>
            <sz val="9"/>
            <color indexed="81"/>
            <rFont val="Tahoma"/>
            <family val="2"/>
          </rPr>
          <t>Total Project Costs: Land, Soft, Hard, Financing and Outfitting</t>
        </r>
      </text>
    </comment>
    <comment ref="C34" authorId="0" shapeId="0" xr:uid="{00000000-0006-0000-0000-000006000000}">
      <text>
        <r>
          <rPr>
            <sz val="9"/>
            <color indexed="81"/>
            <rFont val="Tahoma"/>
            <family val="2"/>
          </rPr>
          <t>The most likely Down Payment required</t>
        </r>
      </text>
    </comment>
    <comment ref="C35" authorId="0" shapeId="0" xr:uid="{00000000-0006-0000-0000-000007000000}">
      <text>
        <r>
          <rPr>
            <sz val="9"/>
            <color indexed="81"/>
            <rFont val="Tahoma"/>
            <family val="2"/>
          </rPr>
          <t>Mostly likely max loan amount</t>
        </r>
      </text>
    </comment>
    <comment ref="D117" authorId="0" shapeId="0" xr:uid="{00000000-0006-0000-0000-000008000000}">
      <text>
        <r>
          <rPr>
            <sz val="9"/>
            <color indexed="81"/>
            <rFont val="Tahoma"/>
            <family val="2"/>
          </rPr>
          <t>These are the percentages that we observe considering Prime Time is from 9-12 noon on Sundays.</t>
        </r>
      </text>
    </comment>
    <comment ref="E117" authorId="0" shapeId="0" xr:uid="{00000000-0006-0000-0000-000009000000}">
      <text>
        <r>
          <rPr>
            <sz val="9"/>
            <color indexed="81"/>
            <rFont val="Tahoma"/>
            <family val="2"/>
          </rPr>
          <t xml:space="preserve">These are the percentages that we observe considering Prime Time is from 9-12 noon on Sundays.
</t>
        </r>
      </text>
    </comment>
    <comment ref="F117" authorId="0" shapeId="0" xr:uid="{00000000-0006-0000-0000-00000A000000}">
      <text>
        <r>
          <rPr>
            <sz val="9"/>
            <color indexed="81"/>
            <rFont val="Tahoma"/>
            <family val="2"/>
          </rPr>
          <t xml:space="preserve">These are the percentages that we observe considering Prime Time is from 9-12 noon on Sundays.
</t>
        </r>
      </text>
    </comment>
    <comment ref="G117" authorId="0" shapeId="0" xr:uid="{00000000-0006-0000-0000-00000B000000}">
      <text>
        <r>
          <rPr>
            <sz val="9"/>
            <color indexed="81"/>
            <rFont val="Tahoma"/>
            <family val="2"/>
          </rPr>
          <t>These are the percentages that we observe considering Prime Time is from 9-12 noon on Sundays.</t>
        </r>
      </text>
    </comment>
  </commentList>
</comments>
</file>

<file path=xl/sharedStrings.xml><?xml version="1.0" encoding="utf-8"?>
<sst xmlns="http://schemas.openxmlformats.org/spreadsheetml/2006/main" count="142" uniqueCount="123">
  <si>
    <t># Seats</t>
  </si>
  <si>
    <t>Building Size (SF)</t>
  </si>
  <si>
    <t>Down Payment</t>
  </si>
  <si>
    <t>Loan Amount</t>
  </si>
  <si>
    <t>Financing</t>
  </si>
  <si>
    <t>Adults</t>
  </si>
  <si>
    <t># Weekly Services</t>
  </si>
  <si>
    <t>Annual Loan Payment</t>
  </si>
  <si>
    <t>(4.5%, 5 year term, 25 year amortization)</t>
  </si>
  <si>
    <t>Giving/Attender/Year</t>
  </si>
  <si>
    <t>Average Occupancy</t>
  </si>
  <si>
    <t>Adults in Worship</t>
  </si>
  <si>
    <t>Insert Total Weekly Attendance</t>
  </si>
  <si>
    <t>Total debt allowable</t>
  </si>
  <si>
    <t>Last Years Income</t>
  </si>
  <si>
    <t>2.5 X's Income</t>
  </si>
  <si>
    <t>2.0 X's Income</t>
  </si>
  <si>
    <t>1.5 X's Income</t>
  </si>
  <si>
    <t>Insert Last Year's Income</t>
  </si>
  <si>
    <t>Total Project Cost</t>
  </si>
  <si>
    <t>Insert # Seats Desired</t>
  </si>
  <si>
    <t>Insert Total Project Cost (/SF)</t>
  </si>
  <si>
    <t>Insert Cash Savings</t>
  </si>
  <si>
    <t>Insert Equity in Real Estate</t>
  </si>
  <si>
    <t>Total</t>
  </si>
  <si>
    <t xml:space="preserve">Insert # Services Performed </t>
  </si>
  <si>
    <t>Gap</t>
  </si>
  <si>
    <r>
      <t xml:space="preserve">If your giving is </t>
    </r>
    <r>
      <rPr>
        <b/>
        <sz val="12"/>
        <color theme="1"/>
        <rFont val="Proxima Nova"/>
        <family val="2"/>
      </rPr>
      <t xml:space="preserve">less than $900 </t>
    </r>
    <r>
      <rPr>
        <sz val="12"/>
        <color theme="1"/>
        <rFont val="Proxima Nova"/>
        <family val="2"/>
      </rPr>
      <t>/attender / year, then you should increase teaching on generosity.</t>
    </r>
  </si>
  <si>
    <r>
      <t xml:space="preserve">If your giving is </t>
    </r>
    <r>
      <rPr>
        <b/>
        <sz val="12"/>
        <color theme="1"/>
        <rFont val="Proxima Nova"/>
        <family val="2"/>
      </rPr>
      <t xml:space="preserve">greater than $1,500 </t>
    </r>
    <r>
      <rPr>
        <sz val="12"/>
        <color theme="1"/>
        <rFont val="Proxima Nova"/>
        <family val="2"/>
      </rPr>
      <t>/attender/ year, then you have a very generous congregation.</t>
    </r>
  </si>
  <si>
    <t>Insert New Weekly Attendance</t>
  </si>
  <si>
    <t>Potential Annual Income</t>
  </si>
  <si>
    <t>Debt Capacity</t>
  </si>
  <si>
    <t>Maximum Building Size</t>
  </si>
  <si>
    <t>&lt; than 33% is required</t>
  </si>
  <si>
    <t># Seats (SF per seat)</t>
  </si>
  <si>
    <t>Loan Payment</t>
  </si>
  <si>
    <t>% of Last Year's Income</t>
  </si>
  <si>
    <t>Miscellaneous</t>
  </si>
  <si>
    <r>
      <t xml:space="preserve">Auditorium </t>
    </r>
    <r>
      <rPr>
        <sz val="10"/>
        <color theme="1"/>
        <rFont val="Proxima Nova"/>
        <family val="2"/>
      </rPr>
      <t>(15 SF / Seat)</t>
    </r>
  </si>
  <si>
    <r>
      <t>Lobby</t>
    </r>
    <r>
      <rPr>
        <sz val="10"/>
        <color theme="1"/>
        <rFont val="Proxima Nova"/>
        <family val="2"/>
      </rPr>
      <t xml:space="preserve"> (50% of Auditorium)</t>
    </r>
  </si>
  <si>
    <t>Children Attenders</t>
  </si>
  <si>
    <t>Insert your % of Children</t>
  </si>
  <si>
    <t>Children</t>
  </si>
  <si>
    <r>
      <t xml:space="preserve">Childrens </t>
    </r>
    <r>
      <rPr>
        <sz val="10"/>
        <color theme="1"/>
        <rFont val="Proxima Nova"/>
        <family val="2"/>
      </rPr>
      <t>(30% of seats X 40 SF)</t>
    </r>
  </si>
  <si>
    <r>
      <t xml:space="preserve">Offices </t>
    </r>
    <r>
      <rPr>
        <sz val="10"/>
        <color theme="1"/>
        <rFont val="Proxima Nova"/>
        <family val="2"/>
      </rPr>
      <t>(1 FTE/75 seats X 300 SF)</t>
    </r>
  </si>
  <si>
    <r>
      <t xml:space="preserve">Youth </t>
    </r>
    <r>
      <rPr>
        <sz val="11"/>
        <color theme="1"/>
        <rFont val="Proxima Nova"/>
        <family val="2"/>
      </rPr>
      <t>(25% of Childrens)</t>
    </r>
  </si>
  <si>
    <r>
      <t xml:space="preserve">Storage </t>
    </r>
    <r>
      <rPr>
        <sz val="10"/>
        <color theme="1"/>
        <rFont val="Proxima Nova"/>
        <family val="2"/>
      </rPr>
      <t>(8% of Building SF)</t>
    </r>
  </si>
  <si>
    <t># Seats in Auditorium</t>
  </si>
  <si>
    <r>
      <t xml:space="preserve">If you have a </t>
    </r>
    <r>
      <rPr>
        <b/>
        <sz val="16"/>
        <color rgb="FFFF0000"/>
        <rFont val="Proxima Nova"/>
        <family val="2"/>
      </rPr>
      <t>Red Gap</t>
    </r>
    <r>
      <rPr>
        <b/>
        <sz val="16"/>
        <color rgb="FF0F658A"/>
        <rFont val="Proxima Nova"/>
        <family val="2"/>
      </rPr>
      <t>, you can do the following:</t>
    </r>
  </si>
  <si>
    <t>New Weekly Attendance</t>
  </si>
  <si>
    <t>New Debt Capacity</t>
  </si>
  <si>
    <t>New Fund Raising Potential</t>
  </si>
  <si>
    <t>3.0 X's Income</t>
  </si>
  <si>
    <t>Insert Projected Amount</t>
  </si>
  <si>
    <t>10% reduction for new attender giving lag</t>
  </si>
  <si>
    <t>Balance assists with higher facility costs until income grows</t>
  </si>
  <si>
    <t>Amount depends upon demographics</t>
  </si>
  <si>
    <t>Total Resources</t>
  </si>
  <si>
    <t>Cash Savings</t>
  </si>
  <si>
    <t>Equity in Real Estate</t>
  </si>
  <si>
    <r>
      <t>If you are less than 50% occupancy, is there enough</t>
    </r>
    <r>
      <rPr>
        <b/>
        <sz val="12"/>
        <color theme="1"/>
        <rFont val="Proxima Nova"/>
        <family val="2"/>
      </rPr>
      <t xml:space="preserve"> children space</t>
    </r>
    <r>
      <rPr>
        <sz val="12"/>
        <color theme="1"/>
        <rFont val="Proxima Nova"/>
        <family val="2"/>
      </rPr>
      <t xml:space="preserve"> and/or </t>
    </r>
    <r>
      <rPr>
        <b/>
        <sz val="12"/>
        <color theme="1"/>
        <rFont val="Proxima Nova"/>
        <family val="2"/>
      </rPr>
      <t>parking spaces</t>
    </r>
    <r>
      <rPr>
        <sz val="12"/>
        <color theme="1"/>
        <rFont val="Proxima Nova"/>
        <family val="2"/>
      </rPr>
      <t xml:space="preserve"> as you grow?</t>
    </r>
  </si>
  <si>
    <t>More Attendance will allow greater Debt Capacity and Fund Raising potential.</t>
  </si>
  <si>
    <t>Acquire &amp; Renovate Existing Building</t>
  </si>
  <si>
    <t>Insert # Years of Campaign</t>
  </si>
  <si>
    <t>during capital campaign</t>
  </si>
  <si>
    <t>Last Years Revenue</t>
  </si>
  <si>
    <t>Total Allowable Debt</t>
  </si>
  <si>
    <t>Equity Potential</t>
  </si>
  <si>
    <t>lender has to trust that these monies will arrive.</t>
  </si>
  <si>
    <t>How large of a building do you desire?</t>
  </si>
  <si>
    <r>
      <t xml:space="preserve">Yellow boxes are for </t>
    </r>
    <r>
      <rPr>
        <b/>
        <sz val="8"/>
        <color rgb="FF0000CC"/>
        <rFont val="Proxima Nova"/>
        <family val="2"/>
      </rPr>
      <t>data input</t>
    </r>
  </si>
  <si>
    <t>50 SF for Fully Functioning Church Building (auditorium, lobby, childrens, youth, offices)</t>
  </si>
  <si>
    <t>What are the Total Project Costs to construct a church space or a church building?</t>
  </si>
  <si>
    <t>Desired Building Size (SF)</t>
  </si>
  <si>
    <t>Show Total Project Cost Worksheet</t>
  </si>
  <si>
    <t># Seats Possible</t>
  </si>
  <si>
    <r>
      <t>1.  Increase Giving per Attender</t>
    </r>
    <r>
      <rPr>
        <sz val="11"/>
        <color theme="1"/>
        <rFont val="Proxima Nova"/>
        <family val="2"/>
      </rPr>
      <t xml:space="preserve"> (only if generosity is low)</t>
    </r>
  </si>
  <si>
    <t>Original Goal</t>
  </si>
  <si>
    <t>SF</t>
  </si>
  <si>
    <t>Seats</t>
  </si>
  <si>
    <r>
      <t>If Occupancy is greater</t>
    </r>
    <r>
      <rPr>
        <b/>
        <sz val="12"/>
        <color theme="1"/>
        <rFont val="Proxima Nova"/>
        <family val="2"/>
      </rPr>
      <t xml:space="preserve"> than 80%, </t>
    </r>
    <r>
      <rPr>
        <sz val="12"/>
        <color theme="1"/>
        <rFont val="Proxima Nova"/>
        <family val="2"/>
      </rPr>
      <t xml:space="preserve"> it's not likely you can meaningfully increase. </t>
    </r>
    <r>
      <rPr>
        <b/>
        <sz val="12"/>
        <color theme="1"/>
        <rFont val="Proxima Nova"/>
        <family val="2"/>
      </rPr>
      <t>Therefore, you need to add service(s).</t>
    </r>
  </si>
  <si>
    <r>
      <t xml:space="preserve">If Occupancy is </t>
    </r>
    <r>
      <rPr>
        <b/>
        <sz val="12"/>
        <color theme="1"/>
        <rFont val="Proxima Nova"/>
        <family val="2"/>
      </rPr>
      <t>less than 50%,</t>
    </r>
    <r>
      <rPr>
        <sz val="12"/>
        <color theme="1"/>
        <rFont val="Proxima Nova"/>
        <family val="2"/>
      </rPr>
      <t xml:space="preserve"> </t>
    </r>
    <r>
      <rPr>
        <u/>
        <sz val="12"/>
        <color theme="1"/>
        <rFont val="Proxima Nova"/>
        <family val="2"/>
      </rPr>
      <t>you have capacity to increase attendance without adding another service</t>
    </r>
    <r>
      <rPr>
        <sz val="12"/>
        <color theme="1"/>
        <rFont val="Proxima Nova"/>
        <family val="2"/>
      </rPr>
      <t>!</t>
    </r>
  </si>
  <si>
    <t>New # of Weekly Services</t>
  </si>
  <si>
    <t>Insert # Seats in Current Auditorium</t>
  </si>
  <si>
    <t>If this is too high, adjust debt section</t>
  </si>
  <si>
    <r>
      <t xml:space="preserve">If you see a </t>
    </r>
    <r>
      <rPr>
        <b/>
        <sz val="8"/>
        <color rgb="FFFF0000"/>
        <rFont val="Proxima Nova"/>
        <family val="2"/>
      </rPr>
      <t xml:space="preserve">red triangle </t>
    </r>
    <r>
      <rPr>
        <sz val="8"/>
        <color rgb="FF000000"/>
        <rFont val="Proxima Nova"/>
        <family val="2"/>
      </rPr>
      <t>in a cell, that means there is a note of explanation.</t>
    </r>
  </si>
  <si>
    <t>assumes sale</t>
  </si>
  <si>
    <r>
      <t xml:space="preserve">% Occupancy </t>
    </r>
    <r>
      <rPr>
        <sz val="11"/>
        <color theme="1"/>
        <rFont val="Proxima Nova"/>
        <family val="2"/>
      </rPr>
      <t>(see note in cell)</t>
    </r>
  </si>
  <si>
    <r>
      <rPr>
        <b/>
        <sz val="12"/>
        <color rgb="FF0000CC"/>
        <rFont val="Proxima Nova"/>
        <family val="2"/>
      </rPr>
      <t>Building SF</t>
    </r>
    <r>
      <rPr>
        <sz val="12"/>
        <color rgb="FF0000CC"/>
        <rFont val="Proxima Nova"/>
        <family val="2"/>
      </rPr>
      <t xml:space="preserve"> </t>
    </r>
    <r>
      <rPr>
        <sz val="10"/>
        <color rgb="FF0000CC"/>
        <rFont val="Proxima Nova"/>
        <family val="2"/>
      </rPr>
      <t>(50 SF / Seat)</t>
    </r>
  </si>
  <si>
    <t>Potential if you Add 1 Service Time</t>
  </si>
  <si>
    <t>Can you increase Giving per Attender?</t>
  </si>
  <si>
    <t>Can you increase Weekly Attendance?</t>
  </si>
  <si>
    <t>Estimated Total Project Costs (/SF)</t>
  </si>
  <si>
    <t>SF per Seat</t>
  </si>
  <si>
    <t>from table above</t>
  </si>
  <si>
    <t>Property Costs to Operating Income</t>
  </si>
  <si>
    <r>
      <t>Insert Property Costs</t>
    </r>
    <r>
      <rPr>
        <b/>
        <sz val="11"/>
        <color rgb="FF0000CC"/>
        <rFont val="Proxima Nova"/>
        <family val="2"/>
      </rPr>
      <t xml:space="preserve"> (/SF)</t>
    </r>
  </si>
  <si>
    <t>utilities, cleaning, maintenance, trash, repairs, personnel, insurance, etc.</t>
  </si>
  <si>
    <t>What would be the Total Costs of this new church building?</t>
  </si>
  <si>
    <t>estimated based on future scope</t>
  </si>
  <si>
    <t>Estimate the Total Project Cost per SF</t>
  </si>
  <si>
    <t>How much can you raise in a well-organized Capital Campaign?</t>
  </si>
  <si>
    <t>How large a Loan can you qualify for?</t>
  </si>
  <si>
    <t>So what is the Maximum Building you could accomplish today?</t>
  </si>
  <si>
    <t>see New Weekly Attendance (below) in column</t>
  </si>
  <si>
    <t>Greater than $1,800 / attender / year can be a concern only as it may be unsustainable.</t>
  </si>
  <si>
    <t>Acquire Land and Develop Ground-Up</t>
  </si>
  <si>
    <t>Leased Space (Tenant Improvements)</t>
  </si>
  <si>
    <t>Insert Down Payment</t>
  </si>
  <si>
    <t>New Donations (65% avail for project)</t>
  </si>
  <si>
    <t>What would be the Max Building Size you could accomplish then?</t>
  </si>
  <si>
    <r>
      <t>Leased Space</t>
    </r>
    <r>
      <rPr>
        <sz val="14"/>
        <color rgb="FF000000"/>
        <rFont val="Calibri"/>
        <family val="2"/>
        <scheme val="minor"/>
      </rPr>
      <t xml:space="preserve">:  $150-230/SF     </t>
    </r>
  </si>
  <si>
    <r>
      <t xml:space="preserve">Acquire &amp; Renovate </t>
    </r>
    <r>
      <rPr>
        <b/>
        <sz val="14"/>
        <color rgb="FF000000"/>
        <rFont val="Calibri"/>
        <family val="2"/>
        <scheme val="minor"/>
      </rPr>
      <t>Existing Building</t>
    </r>
    <r>
      <rPr>
        <sz val="14"/>
        <color rgb="FF000000"/>
        <rFont val="Calibri"/>
        <family val="2"/>
        <scheme val="minor"/>
      </rPr>
      <t>:  $300-380/SF</t>
    </r>
  </si>
  <si>
    <r>
      <t xml:space="preserve">Acquire Land and Develop </t>
    </r>
    <r>
      <rPr>
        <b/>
        <sz val="14"/>
        <color rgb="FF000000"/>
        <rFont val="Calibri"/>
        <family val="2"/>
        <scheme val="minor"/>
      </rPr>
      <t>Ground Up</t>
    </r>
    <r>
      <rPr>
        <sz val="14"/>
        <color rgb="FF000000"/>
        <rFont val="Calibri"/>
        <family val="2"/>
        <scheme val="minor"/>
      </rPr>
      <t>:  $425-550/SF</t>
    </r>
  </si>
  <si>
    <t>How much Cash / Equity do you have now?</t>
  </si>
  <si>
    <t>Insert Available for Project Costs</t>
  </si>
  <si>
    <t>Year Campaign</t>
  </si>
  <si>
    <t>Projected Donations (Post Project)</t>
  </si>
  <si>
    <r>
      <rPr>
        <b/>
        <sz val="12"/>
        <color theme="1"/>
        <rFont val="Proxima Nova"/>
        <family val="2"/>
      </rPr>
      <t>Revenue</t>
    </r>
    <r>
      <rPr>
        <sz val="12"/>
        <color theme="1"/>
        <rFont val="Proxima Nova"/>
        <family val="2"/>
      </rPr>
      <t xml:space="preserve"> Debt Capacity</t>
    </r>
  </si>
  <si>
    <r>
      <rPr>
        <b/>
        <sz val="12"/>
        <color theme="1"/>
        <rFont val="Proxima Nova"/>
        <family val="2"/>
      </rPr>
      <t>Donations</t>
    </r>
    <r>
      <rPr>
        <sz val="12"/>
        <color theme="1"/>
        <rFont val="Proxima Nova"/>
        <family val="2"/>
      </rPr>
      <t xml:space="preserve"> Debt Capacity</t>
    </r>
  </si>
  <si>
    <t>3.  Reduce Size of New Building</t>
  </si>
  <si>
    <t>4.  Raise More $$$ in a Capital Campaign</t>
  </si>
  <si>
    <t>2.  Increase Weekly Attendance by Adding Another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</si>
</sst>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&quot;$&quot;* #,##0_);_(&quot;$&quot;* \(#,##0\);_(&quot;$&quot;* &quot;-&quot;?_);_(@_)"/>
    <numFmt numFmtId="166" formatCode="0.0"/>
    <numFmt numFmtId="167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Proxima Nova"/>
      <family val="2"/>
    </font>
    <font>
      <sz val="11"/>
      <color theme="1"/>
      <name val="Proxima Nova"/>
      <family val="2"/>
    </font>
    <font>
      <sz val="11"/>
      <color theme="1"/>
      <name val="Calibri"/>
      <family val="2"/>
      <scheme val="minor"/>
    </font>
    <font>
      <b/>
      <sz val="11"/>
      <color theme="0"/>
      <name val="Proxima Nova"/>
      <family val="2"/>
    </font>
    <font>
      <sz val="11"/>
      <color theme="1"/>
      <name val="Proxima Nova"/>
      <family val="2"/>
    </font>
    <font>
      <sz val="12"/>
      <color theme="1"/>
      <name val="Proxima Nova"/>
      <family val="2"/>
    </font>
    <font>
      <b/>
      <sz val="11"/>
      <color theme="1"/>
      <name val="Proxima Nova"/>
      <family val="2"/>
    </font>
    <font>
      <sz val="11"/>
      <color theme="0"/>
      <name val="Proxima Nova"/>
      <family val="2"/>
    </font>
    <font>
      <b/>
      <u/>
      <sz val="11"/>
      <color theme="1"/>
      <name val="Proxima Nova"/>
      <family val="2"/>
    </font>
    <font>
      <b/>
      <sz val="12"/>
      <color theme="1"/>
      <name val="Proxima Nova"/>
      <family val="2"/>
    </font>
    <font>
      <b/>
      <sz val="11"/>
      <color rgb="FFFFFFCC"/>
      <name val="Proxima Nova"/>
      <family val="2"/>
    </font>
    <font>
      <sz val="9"/>
      <color indexed="81"/>
      <name val="Tahoma"/>
      <family val="2"/>
    </font>
    <font>
      <b/>
      <sz val="16"/>
      <color rgb="FF0000CC"/>
      <name val="Proxima Nova"/>
      <family val="2"/>
    </font>
    <font>
      <sz val="10"/>
      <color theme="1"/>
      <name val="Proxima Nova"/>
      <family val="2"/>
    </font>
    <font>
      <sz val="8"/>
      <color theme="1"/>
      <name val="Proxima Nova"/>
      <family val="2"/>
    </font>
    <font>
      <b/>
      <sz val="12"/>
      <color theme="9" tint="-0.499984740745262"/>
      <name val="Proxima Nova"/>
      <family val="2"/>
    </font>
    <font>
      <sz val="11"/>
      <color theme="9" tint="-0.499984740745262"/>
      <name val="Proxima Nova"/>
      <family val="2"/>
    </font>
    <font>
      <b/>
      <sz val="16"/>
      <color rgb="FF0F658A"/>
      <name val="Proxima Nova"/>
      <family val="2"/>
    </font>
    <font>
      <b/>
      <sz val="12"/>
      <color rgb="FF008000"/>
      <name val="Proxima Nova"/>
      <family val="2"/>
    </font>
    <font>
      <b/>
      <sz val="12"/>
      <color theme="0"/>
      <name val="Proxima Nova"/>
      <family val="2"/>
    </font>
    <font>
      <b/>
      <sz val="16"/>
      <color rgb="FFFF0000"/>
      <name val="Proxima Nova"/>
      <family val="2"/>
    </font>
    <font>
      <u/>
      <sz val="12"/>
      <color theme="1"/>
      <name val="Proxima Nova"/>
      <family val="2"/>
    </font>
    <font>
      <sz val="9"/>
      <color theme="1"/>
      <name val="Proxima Nova"/>
      <family val="2"/>
    </font>
    <font>
      <sz val="11"/>
      <name val="Proxima Nova"/>
      <family val="2"/>
    </font>
    <font>
      <b/>
      <sz val="11"/>
      <color rgb="FF0000CC"/>
      <name val="Proxima Nova"/>
      <family val="2"/>
    </font>
    <font>
      <b/>
      <sz val="12"/>
      <color rgb="FF0000CC"/>
      <name val="Proxima Nova"/>
      <family val="2"/>
    </font>
    <font>
      <u/>
      <sz val="11"/>
      <color theme="1"/>
      <name val="Proxima Nova"/>
      <family val="2"/>
    </font>
    <font>
      <sz val="8"/>
      <color rgb="FF000000"/>
      <name val="Proxima Nova"/>
      <family val="2"/>
    </font>
    <font>
      <b/>
      <sz val="8"/>
      <color rgb="FF0000CC"/>
      <name val="Proxima Nov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theme="0" tint="-0.34998626667073579"/>
      <name val="Proxima Nova"/>
      <family val="2"/>
    </font>
    <font>
      <b/>
      <sz val="8"/>
      <color rgb="FFFF0000"/>
      <name val="Proxima Nova"/>
      <family val="2"/>
    </font>
    <font>
      <b/>
      <sz val="12"/>
      <color theme="0" tint="-0.34998626667073579"/>
      <name val="Proxima Nova"/>
      <family val="2"/>
    </font>
    <font>
      <sz val="12"/>
      <color rgb="FF0000CC"/>
      <name val="Proxima Nova"/>
      <family val="2"/>
    </font>
    <font>
      <sz val="10"/>
      <color rgb="FF0000CC"/>
      <name val="Proxima Nova"/>
      <family val="2"/>
    </font>
    <font>
      <b/>
      <sz val="11"/>
      <color rgb="FFFFFF00"/>
      <name val="Proxima Nov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2B54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5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vertical="center"/>
    </xf>
    <xf numFmtId="164" fontId="5" fillId="0" borderId="0" xfId="2" applyNumberFormat="1" applyFont="1"/>
    <xf numFmtId="0" fontId="4" fillId="3" borderId="0" xfId="0" applyFont="1" applyFill="1" applyAlignment="1">
      <alignment horizontal="center"/>
    </xf>
    <xf numFmtId="164" fontId="5" fillId="0" borderId="0" xfId="0" applyNumberFormat="1" applyFont="1"/>
    <xf numFmtId="9" fontId="5" fillId="0" borderId="0" xfId="0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9" fillId="0" borderId="0" xfId="0" applyFont="1" applyAlignment="1">
      <alignment horizontal="center" vertical="center"/>
    </xf>
    <xf numFmtId="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9" fontId="10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37" fontId="5" fillId="0" borderId="0" xfId="0" applyNumberFormat="1" applyFont="1"/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9" fontId="5" fillId="0" borderId="0" xfId="3" applyFont="1"/>
    <xf numFmtId="165" fontId="5" fillId="0" borderId="0" xfId="0" applyNumberFormat="1" applyFont="1" applyAlignment="1">
      <alignment horizontal="left" vertical="center" indent="1"/>
    </xf>
    <xf numFmtId="0" fontId="6" fillId="0" borderId="0" xfId="0" applyFont="1" applyAlignment="1">
      <alignment horizontal="left" indent="1"/>
    </xf>
    <xf numFmtId="165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7" fontId="5" fillId="0" borderId="0" xfId="1" applyNumberFormat="1" applyFont="1" applyAlignment="1">
      <alignment horizontal="center"/>
    </xf>
    <xf numFmtId="0" fontId="6" fillId="0" borderId="0" xfId="0" applyFont="1" applyAlignment="1">
      <alignment horizontal="right" indent="2"/>
    </xf>
    <xf numFmtId="164" fontId="14" fillId="0" borderId="0" xfId="0" applyNumberFormat="1" applyFont="1" applyAlignment="1">
      <alignment horizontal="left" indent="1"/>
    </xf>
    <xf numFmtId="6" fontId="10" fillId="0" borderId="0" xfId="0" applyNumberFormat="1" applyFont="1"/>
    <xf numFmtId="0" fontId="6" fillId="0" borderId="0" xfId="0" applyFont="1"/>
    <xf numFmtId="0" fontId="14" fillId="0" borderId="0" xfId="0" applyFont="1"/>
    <xf numFmtId="0" fontId="7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left" indent="1"/>
    </xf>
    <xf numFmtId="164" fontId="14" fillId="0" borderId="0" xfId="0" applyNumberFormat="1" applyFont="1"/>
    <xf numFmtId="165" fontId="14" fillId="0" borderId="0" xfId="0" applyNumberFormat="1" applyFont="1" applyAlignment="1">
      <alignment horizontal="left" vertical="center" indent="1"/>
    </xf>
    <xf numFmtId="165" fontId="5" fillId="0" borderId="0" xfId="0" applyNumberFormat="1" applyFont="1"/>
    <xf numFmtId="165" fontId="7" fillId="0" borderId="0" xfId="0" applyNumberFormat="1" applyFont="1"/>
    <xf numFmtId="37" fontId="5" fillId="2" borderId="3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indent="2"/>
    </xf>
    <xf numFmtId="9" fontId="7" fillId="0" borderId="0" xfId="3" applyFont="1" applyAlignment="1">
      <alignment horizontal="center" vertical="center"/>
    </xf>
    <xf numFmtId="165" fontId="5" fillId="0" borderId="1" xfId="0" applyNumberFormat="1" applyFont="1" applyBorder="1"/>
    <xf numFmtId="0" fontId="6" fillId="0" borderId="0" xfId="0" applyFont="1" applyAlignment="1">
      <alignment horizontal="right" indent="1"/>
    </xf>
    <xf numFmtId="6" fontId="5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164" fontId="17" fillId="0" borderId="0" xfId="2" applyNumberFormat="1" applyFont="1" applyAlignment="1">
      <alignment horizontal="center" vertical="center"/>
    </xf>
    <xf numFmtId="164" fontId="17" fillId="0" borderId="0" xfId="2" applyNumberFormat="1" applyFont="1"/>
    <xf numFmtId="165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16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7" fontId="5" fillId="0" borderId="0" xfId="3" applyNumberFormat="1" applyFont="1" applyFill="1" applyAlignment="1">
      <alignment horizontal="center" vertical="center"/>
    </xf>
    <xf numFmtId="9" fontId="5" fillId="0" borderId="0" xfId="3" applyFont="1" applyAlignment="1">
      <alignment horizontal="left" indent="1"/>
    </xf>
    <xf numFmtId="0" fontId="13" fillId="0" borderId="0" xfId="0" applyFont="1"/>
    <xf numFmtId="167" fontId="5" fillId="0" borderId="0" xfId="3" applyNumberFormat="1" applyFont="1"/>
    <xf numFmtId="0" fontId="5" fillId="4" borderId="0" xfId="0" applyFont="1" applyFill="1" applyAlignment="1">
      <alignment horizontal="left" indent="1"/>
    </xf>
    <xf numFmtId="9" fontId="5" fillId="4" borderId="0" xfId="3" applyFont="1" applyFill="1" applyAlignment="1">
      <alignment horizontal="left" indent="1"/>
    </xf>
    <xf numFmtId="0" fontId="18" fillId="0" borderId="0" xfId="0" applyFont="1" applyAlignment="1">
      <alignment vertical="center"/>
    </xf>
    <xf numFmtId="164" fontId="19" fillId="0" borderId="0" xfId="0" applyNumberFormat="1" applyFont="1"/>
    <xf numFmtId="0" fontId="6" fillId="0" borderId="0" xfId="0" applyFont="1" applyAlignment="1">
      <alignment horizontal="left"/>
    </xf>
    <xf numFmtId="37" fontId="5" fillId="0" borderId="0" xfId="0" applyNumberFormat="1" applyFont="1" applyAlignment="1">
      <alignment horizontal="center" vertical="center"/>
    </xf>
    <xf numFmtId="164" fontId="19" fillId="0" borderId="0" xfId="2" applyNumberFormat="1" applyFont="1" applyAlignment="1">
      <alignment horizontal="left" indent="1"/>
    </xf>
    <xf numFmtId="5" fontId="5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9" fontId="7" fillId="0" borderId="0" xfId="3" applyFont="1" applyAlignment="1">
      <alignment horizontal="right" vertical="center"/>
    </xf>
    <xf numFmtId="9" fontId="5" fillId="0" borderId="0" xfId="3" applyFont="1" applyFill="1" applyBorder="1" applyAlignment="1">
      <alignment horizontal="right" vertical="center"/>
    </xf>
    <xf numFmtId="0" fontId="23" fillId="0" borderId="0" xfId="0" applyFont="1" applyAlignment="1">
      <alignment horizontal="left" indent="1"/>
    </xf>
    <xf numFmtId="9" fontId="14" fillId="0" borderId="0" xfId="0" applyNumberFormat="1" applyFont="1" applyAlignment="1">
      <alignment horizontal="center" vertical="center"/>
    </xf>
    <xf numFmtId="9" fontId="25" fillId="4" borderId="2" xfId="0" applyNumberFormat="1" applyFont="1" applyFill="1" applyBorder="1" applyAlignment="1">
      <alignment horizontal="center" vertical="center"/>
    </xf>
    <xf numFmtId="164" fontId="25" fillId="4" borderId="2" xfId="0" applyNumberFormat="1" applyFont="1" applyFill="1" applyBorder="1"/>
    <xf numFmtId="37" fontId="25" fillId="4" borderId="2" xfId="0" applyNumberFormat="1" applyFont="1" applyFill="1" applyBorder="1" applyAlignment="1">
      <alignment horizontal="center" vertical="center"/>
    </xf>
    <xf numFmtId="9" fontId="25" fillId="4" borderId="2" xfId="3" applyFont="1" applyFill="1" applyBorder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37" fontId="26" fillId="4" borderId="2" xfId="0" applyNumberFormat="1" applyFont="1" applyFill="1" applyBorder="1" applyAlignment="1">
      <alignment horizontal="center" vertical="center"/>
    </xf>
    <xf numFmtId="165" fontId="6" fillId="0" borderId="0" xfId="0" applyNumberFormat="1" applyFont="1"/>
    <xf numFmtId="5" fontId="6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indent="1"/>
    </xf>
    <xf numFmtId="164" fontId="15" fillId="0" borderId="0" xfId="0" applyNumberFormat="1" applyFont="1" applyAlignment="1">
      <alignment horizontal="left" indent="1"/>
    </xf>
    <xf numFmtId="165" fontId="15" fillId="0" borderId="0" xfId="0" applyNumberFormat="1" applyFont="1" applyAlignment="1">
      <alignment horizontal="left" vertical="center" indent="1"/>
    </xf>
    <xf numFmtId="0" fontId="10" fillId="0" borderId="0" xfId="0" applyFont="1" applyAlignment="1">
      <alignment horizontal="right" indent="1"/>
    </xf>
    <xf numFmtId="164" fontId="19" fillId="0" borderId="1" xfId="2" applyNumberFormat="1" applyFont="1" applyBorder="1" applyAlignment="1">
      <alignment horizontal="left" indent="1"/>
    </xf>
    <xf numFmtId="165" fontId="24" fillId="0" borderId="0" xfId="0" applyNumberFormat="1" applyFont="1"/>
    <xf numFmtId="164" fontId="19" fillId="0" borderId="0" xfId="2" applyNumberFormat="1" applyFont="1" applyBorder="1" applyAlignment="1">
      <alignment horizontal="left" indent="1"/>
    </xf>
    <xf numFmtId="164" fontId="19" fillId="0" borderId="4" xfId="2" applyNumberFormat="1" applyFont="1" applyBorder="1" applyAlignment="1">
      <alignment horizontal="left" indent="1"/>
    </xf>
    <xf numFmtId="164" fontId="25" fillId="4" borderId="2" xfId="2" applyNumberFormat="1" applyFont="1" applyFill="1" applyBorder="1" applyAlignment="1">
      <alignment horizontal="center" vertical="center"/>
    </xf>
    <xf numFmtId="3" fontId="7" fillId="0" borderId="0" xfId="0" applyNumberFormat="1" applyFont="1"/>
    <xf numFmtId="167" fontId="7" fillId="0" borderId="0" xfId="3" applyNumberFormat="1" applyFont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vertical="center"/>
    </xf>
    <xf numFmtId="0" fontId="11" fillId="6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164" fontId="25" fillId="0" borderId="0" xfId="2" applyNumberFormat="1" applyFont="1" applyFill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26" fillId="0" borderId="0" xfId="0" applyFont="1" applyAlignment="1">
      <alignment horizontal="left" indent="1"/>
    </xf>
    <xf numFmtId="37" fontId="27" fillId="0" borderId="0" xfId="1" applyNumberFormat="1" applyFont="1" applyAlignment="1">
      <alignment horizontal="center" vertical="center"/>
    </xf>
    <xf numFmtId="0" fontId="25" fillId="0" borderId="0" xfId="0" applyFont="1" applyAlignment="1">
      <alignment horizontal="left" indent="1"/>
    </xf>
    <xf numFmtId="167" fontId="7" fillId="0" borderId="0" xfId="3" applyNumberFormat="1" applyFont="1" applyFill="1" applyAlignment="1">
      <alignment horizontal="center" vertical="center"/>
    </xf>
    <xf numFmtId="8" fontId="5" fillId="4" borderId="2" xfId="0" applyNumberFormat="1" applyFont="1" applyFill="1" applyBorder="1" applyAlignment="1">
      <alignment horizontal="center" vertical="center"/>
    </xf>
    <xf numFmtId="37" fontId="5" fillId="0" borderId="5" xfId="0" applyNumberFormat="1" applyFont="1" applyBorder="1" applyAlignment="1">
      <alignment horizontal="center" vertical="center"/>
    </xf>
    <xf numFmtId="37" fontId="5" fillId="0" borderId="6" xfId="1" applyNumberFormat="1" applyFont="1" applyBorder="1" applyAlignment="1">
      <alignment horizontal="center" vertical="center"/>
    </xf>
    <xf numFmtId="37" fontId="5" fillId="0" borderId="6" xfId="1" applyNumberFormat="1" applyFont="1" applyFill="1" applyBorder="1" applyAlignment="1">
      <alignment horizontal="center" vertical="center"/>
    </xf>
    <xf numFmtId="9" fontId="5" fillId="0" borderId="7" xfId="0" applyNumberFormat="1" applyFont="1" applyBorder="1" applyAlignment="1">
      <alignment horizontal="center" vertical="center"/>
    </xf>
    <xf numFmtId="37" fontId="5" fillId="0" borderId="7" xfId="1" applyNumberFormat="1" applyFont="1" applyBorder="1" applyAlignment="1">
      <alignment horizontal="center"/>
    </xf>
    <xf numFmtId="2" fontId="5" fillId="7" borderId="0" xfId="0" applyNumberFormat="1" applyFont="1" applyFill="1" applyAlignment="1">
      <alignment horizontal="center" vertical="center"/>
    </xf>
    <xf numFmtId="0" fontId="28" fillId="0" borderId="0" xfId="0" applyFont="1" applyAlignment="1">
      <alignment horizontal="left" indent="1"/>
    </xf>
    <xf numFmtId="37" fontId="15" fillId="0" borderId="0" xfId="0" applyNumberFormat="1" applyFont="1" applyAlignment="1">
      <alignment horizontal="left" vertical="center" indent="1"/>
    </xf>
    <xf numFmtId="0" fontId="31" fillId="0" borderId="0" xfId="0" applyFont="1"/>
    <xf numFmtId="0" fontId="30" fillId="0" borderId="0" xfId="0" applyFont="1" applyAlignment="1">
      <alignment horizontal="left" indent="1"/>
    </xf>
    <xf numFmtId="0" fontId="31" fillId="0" borderId="0" xfId="0" applyFont="1" applyAlignment="1">
      <alignment horizontal="left" indent="1"/>
    </xf>
    <xf numFmtId="3" fontId="32" fillId="0" borderId="0" xfId="0" applyNumberFormat="1" applyFont="1"/>
    <xf numFmtId="9" fontId="32" fillId="0" borderId="0" xfId="3" applyFont="1" applyBorder="1" applyAlignment="1">
      <alignment horizontal="center" vertical="center"/>
    </xf>
    <xf numFmtId="165" fontId="7" fillId="0" borderId="0" xfId="0" applyNumberFormat="1" applyFont="1" applyAlignment="1">
      <alignment horizontal="left" vertical="center"/>
    </xf>
    <xf numFmtId="5" fontId="10" fillId="8" borderId="0" xfId="0" applyNumberFormat="1" applyFont="1" applyFill="1" applyAlignment="1">
      <alignment horizontal="center" vertical="center"/>
    </xf>
    <xf numFmtId="0" fontId="6" fillId="8" borderId="0" xfId="0" applyFont="1" applyFill="1"/>
    <xf numFmtId="0" fontId="5" fillId="8" borderId="0" xfId="0" applyFont="1" applyFill="1" applyAlignment="1">
      <alignment horizontal="center" vertical="center"/>
    </xf>
    <xf numFmtId="165" fontId="5" fillId="8" borderId="0" xfId="0" applyNumberFormat="1" applyFont="1" applyFill="1" applyAlignment="1">
      <alignment horizontal="center" vertical="center"/>
    </xf>
    <xf numFmtId="165" fontId="7" fillId="8" borderId="0" xfId="0" applyNumberFormat="1" applyFont="1" applyFill="1" applyAlignment="1">
      <alignment horizontal="center" vertical="center"/>
    </xf>
    <xf numFmtId="165" fontId="5" fillId="8" borderId="0" xfId="0" applyNumberFormat="1" applyFont="1" applyFill="1" applyAlignment="1">
      <alignment horizontal="left" vertical="center" indent="1"/>
    </xf>
    <xf numFmtId="164" fontId="5" fillId="8" borderId="0" xfId="0" applyNumberFormat="1" applyFont="1" applyFill="1"/>
    <xf numFmtId="37" fontId="6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left" vertical="center" indent="1"/>
    </xf>
    <xf numFmtId="165" fontId="23" fillId="0" borderId="0" xfId="0" applyNumberFormat="1" applyFont="1" applyAlignment="1">
      <alignment horizontal="left" vertical="center" indent="1"/>
    </xf>
    <xf numFmtId="0" fontId="28" fillId="0" borderId="0" xfId="0" applyFont="1" applyAlignment="1">
      <alignment horizontal="left" indent="4"/>
    </xf>
    <xf numFmtId="164" fontId="23" fillId="0" borderId="0" xfId="0" applyNumberFormat="1" applyFont="1" applyAlignment="1">
      <alignment horizontal="left" vertical="center" indent="1"/>
    </xf>
    <xf numFmtId="0" fontId="34" fillId="0" borderId="0" xfId="0" applyFont="1" applyAlignment="1">
      <alignment horizontal="left" indent="1"/>
    </xf>
    <xf numFmtId="37" fontId="7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9" fontId="32" fillId="0" borderId="0" xfId="3" applyFont="1" applyAlignment="1">
      <alignment horizontal="center" vertical="center"/>
    </xf>
    <xf numFmtId="37" fontId="25" fillId="0" borderId="0" xfId="1" applyNumberFormat="1" applyFont="1" applyAlignment="1">
      <alignment horizontal="center"/>
    </xf>
    <xf numFmtId="0" fontId="35" fillId="0" borderId="0" xfId="0" applyFont="1" applyAlignment="1">
      <alignment horizontal="left" indent="1"/>
    </xf>
    <xf numFmtId="0" fontId="18" fillId="9" borderId="0" xfId="0" applyFont="1" applyFill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5" fillId="9" borderId="0" xfId="0" applyFont="1" applyFill="1"/>
    <xf numFmtId="9" fontId="5" fillId="9" borderId="0" xfId="0" applyNumberFormat="1" applyFont="1" applyFill="1" applyAlignment="1">
      <alignment horizontal="center" vertical="center"/>
    </xf>
    <xf numFmtId="164" fontId="5" fillId="9" borderId="0" xfId="0" applyNumberFormat="1" applyFont="1" applyFill="1"/>
    <xf numFmtId="9" fontId="10" fillId="9" borderId="0" xfId="0" applyNumberFormat="1" applyFont="1" applyFill="1" applyAlignment="1">
      <alignment horizontal="center" vertical="center"/>
    </xf>
    <xf numFmtId="9" fontId="7" fillId="9" borderId="0" xfId="3" applyFont="1" applyFill="1"/>
    <xf numFmtId="164" fontId="10" fillId="9" borderId="0" xfId="0" applyNumberFormat="1" applyFont="1" applyFill="1"/>
    <xf numFmtId="165" fontId="5" fillId="9" borderId="0" xfId="0" applyNumberFormat="1" applyFont="1" applyFill="1" applyAlignment="1">
      <alignment horizontal="center" vertical="center"/>
    </xf>
    <xf numFmtId="0" fontId="14" fillId="9" borderId="0" xfId="0" applyFont="1" applyFill="1" applyAlignment="1">
      <alignment horizontal="left" indent="1"/>
    </xf>
    <xf numFmtId="165" fontId="7" fillId="9" borderId="0" xfId="0" applyNumberFormat="1" applyFont="1" applyFill="1" applyAlignment="1">
      <alignment horizontal="center" vertical="center"/>
    </xf>
    <xf numFmtId="165" fontId="5" fillId="9" borderId="0" xfId="0" applyNumberFormat="1" applyFont="1" applyFill="1" applyAlignment="1">
      <alignment horizontal="left" vertical="center" indent="1"/>
    </xf>
    <xf numFmtId="9" fontId="5" fillId="9" borderId="0" xfId="3" applyFont="1" applyFill="1"/>
    <xf numFmtId="6" fontId="10" fillId="0" borderId="2" xfId="0" applyNumberFormat="1" applyFont="1" applyBorder="1"/>
    <xf numFmtId="0" fontId="26" fillId="0" borderId="0" xfId="0" applyFont="1"/>
    <xf numFmtId="0" fontId="26" fillId="0" borderId="0" xfId="0" applyFont="1" applyAlignment="1">
      <alignment vertical="center"/>
    </xf>
    <xf numFmtId="167" fontId="5" fillId="4" borderId="2" xfId="3" applyNumberFormat="1" applyFont="1" applyFill="1" applyBorder="1"/>
    <xf numFmtId="37" fontId="27" fillId="0" borderId="0" xfId="1" applyNumberFormat="1" applyFont="1" applyAlignment="1">
      <alignment horizontal="center"/>
    </xf>
    <xf numFmtId="37" fontId="25" fillId="0" borderId="0" xfId="1" applyNumberFormat="1" applyFont="1" applyFill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23" fillId="0" borderId="0" xfId="0" applyFont="1"/>
    <xf numFmtId="0" fontId="5" fillId="2" borderId="0" xfId="0" applyFont="1" applyFill="1"/>
    <xf numFmtId="165" fontId="25" fillId="9" borderId="0" xfId="0" applyNumberFormat="1" applyFont="1" applyFill="1" applyAlignment="1">
      <alignment horizontal="right" vertical="center"/>
    </xf>
    <xf numFmtId="37" fontId="26" fillId="9" borderId="0" xfId="0" applyNumberFormat="1" applyFont="1" applyFill="1" applyAlignment="1">
      <alignment horizontal="left" vertical="center" indent="1"/>
    </xf>
    <xf numFmtId="0" fontId="18" fillId="2" borderId="0" xfId="0" applyFont="1" applyFill="1" applyAlignment="1">
      <alignment vertical="center"/>
    </xf>
    <xf numFmtId="9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/>
    <xf numFmtId="0" fontId="37" fillId="6" borderId="8" xfId="0" applyFont="1" applyFill="1" applyBorder="1" applyAlignment="1">
      <alignment horizontal="center" vertical="center"/>
    </xf>
    <xf numFmtId="37" fontId="27" fillId="8" borderId="9" xfId="1" applyNumberFormat="1" applyFont="1" applyFill="1" applyBorder="1" applyAlignment="1">
      <alignment horizontal="center" vertical="center"/>
    </xf>
    <xf numFmtId="164" fontId="5" fillId="8" borderId="9" xfId="2" applyNumberFormat="1" applyFont="1" applyFill="1" applyBorder="1"/>
    <xf numFmtId="164" fontId="5" fillId="8" borderId="10" xfId="0" applyNumberFormat="1" applyFont="1" applyFill="1" applyBorder="1"/>
    <xf numFmtId="0" fontId="5" fillId="8" borderId="9" xfId="0" applyFont="1" applyFill="1" applyBorder="1"/>
    <xf numFmtId="164" fontId="5" fillId="8" borderId="9" xfId="0" applyNumberFormat="1" applyFont="1" applyFill="1" applyBorder="1"/>
    <xf numFmtId="164" fontId="5" fillId="8" borderId="10" xfId="2" applyNumberFormat="1" applyFont="1" applyFill="1" applyBorder="1"/>
    <xf numFmtId="0" fontId="2" fillId="0" borderId="0" xfId="0" applyFont="1"/>
    <xf numFmtId="165" fontId="19" fillId="0" borderId="1" xfId="0" applyNumberFormat="1" applyFont="1" applyBorder="1" applyAlignment="1">
      <alignment horizontal="center" vertical="center"/>
    </xf>
    <xf numFmtId="165" fontId="19" fillId="0" borderId="4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0" fillId="6" borderId="0" xfId="0" applyFont="1" applyFill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0000CC"/>
      <color rgb="FFFFFFCC"/>
      <color rgb="FF0F658A"/>
      <color rgb="FFD2B545"/>
      <color rgb="FFD2BD45"/>
      <color rgb="FF008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</xdr:colOff>
      <xdr:row>0</xdr:row>
      <xdr:rowOff>65190</xdr:rowOff>
    </xdr:from>
    <xdr:to>
      <xdr:col>7</xdr:col>
      <xdr:colOff>1066800</xdr:colOff>
      <xdr:row>0</xdr:row>
      <xdr:rowOff>789090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679136" y="65190"/>
          <a:ext cx="5887720" cy="723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 b="1">
              <a:solidFill>
                <a:srgbClr val="0F658A"/>
              </a:solidFill>
              <a:latin typeface="Proxima Nova" panose="020B0503030502060204" pitchFamily="34" charset="0"/>
            </a:rPr>
            <a:t>Building Affordability Worksheet</a:t>
          </a:r>
        </a:p>
      </xdr:txBody>
    </xdr:sp>
    <xdr:clientData/>
  </xdr:twoCellAnchor>
  <xdr:twoCellAnchor editAs="oneCell">
    <xdr:from>
      <xdr:col>1</xdr:col>
      <xdr:colOff>22581</xdr:colOff>
      <xdr:row>0</xdr:row>
      <xdr:rowOff>137161</xdr:rowOff>
    </xdr:from>
    <xdr:to>
      <xdr:col>1</xdr:col>
      <xdr:colOff>2111266</xdr:colOff>
      <xdr:row>0</xdr:row>
      <xdr:rowOff>948690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92" y="137161"/>
          <a:ext cx="2088685" cy="811529"/>
        </a:xfrm>
        <a:prstGeom prst="rect">
          <a:avLst/>
        </a:prstGeom>
      </xdr:spPr>
    </xdr:pic>
    <xdr:clientData/>
  </xdr:twoCellAnchor>
  <xdr:twoCellAnchor>
    <xdr:from>
      <xdr:col>3</xdr:col>
      <xdr:colOff>107855</xdr:colOff>
      <xdr:row>106</xdr:row>
      <xdr:rowOff>21698</xdr:rowOff>
    </xdr:from>
    <xdr:to>
      <xdr:col>3</xdr:col>
      <xdr:colOff>808895</xdr:colOff>
      <xdr:row>107</xdr:row>
      <xdr:rowOff>6458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020245" y="17508952"/>
          <a:ext cx="701040" cy="191404"/>
        </a:xfrm>
        <a:prstGeom prst="ellipse">
          <a:avLst/>
        </a:prstGeom>
        <a:noFill/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3</a:t>
          </a:r>
        </a:p>
        <a:p>
          <a:pPr algn="l"/>
          <a:endParaRPr lang="en-US" sz="1100"/>
        </a:p>
      </xdr:txBody>
    </xdr:sp>
    <xdr:clientData/>
  </xdr:twoCellAnchor>
  <xdr:twoCellAnchor>
    <xdr:from>
      <xdr:col>1</xdr:col>
      <xdr:colOff>2251808</xdr:colOff>
      <xdr:row>106</xdr:row>
      <xdr:rowOff>116655</xdr:rowOff>
    </xdr:from>
    <xdr:to>
      <xdr:col>3</xdr:col>
      <xdr:colOff>107855</xdr:colOff>
      <xdr:row>108</xdr:row>
      <xdr:rowOff>68385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4" idx="2"/>
        </xdr:cNvCxnSpPr>
      </xdr:nvCxnSpPr>
      <xdr:spPr>
        <a:xfrm flipH="1">
          <a:off x="2393462" y="20817655"/>
          <a:ext cx="869855" cy="239922"/>
        </a:xfrm>
        <a:prstGeom prst="straightConnector1">
          <a:avLst/>
        </a:prstGeom>
        <a:ln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175260</xdr:colOff>
      <xdr:row>0</xdr:row>
      <xdr:rowOff>593790</xdr:rowOff>
    </xdr:from>
    <xdr:to>
      <xdr:col>7</xdr:col>
      <xdr:colOff>960120</xdr:colOff>
      <xdr:row>0</xdr:row>
      <xdr:rowOff>868110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CEA15123-AF98-4F2F-8101-807C4D6D4A19}"/>
            </a:ext>
          </a:extLst>
        </xdr:cNvPr>
        <xdr:cNvSpPr txBox="1"/>
      </xdr:nvSpPr>
      <xdr:spPr>
        <a:xfrm>
          <a:off x="2785816" y="593790"/>
          <a:ext cx="5674360" cy="2743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i="0" u="none">
              <a:solidFill>
                <a:schemeClr val="tx1">
                  <a:lumMod val="50000"/>
                  <a:lumOff val="50000"/>
                </a:schemeClr>
              </a:solidFill>
              <a:effectLst/>
              <a:latin typeface="Proxima Nova" panose="020B0503030502060204" pitchFamily="34" charset="0"/>
              <a:ea typeface="+mn-ea"/>
              <a:cs typeface="+mn-cs"/>
            </a:rPr>
            <a:t>This worksheet shows </a:t>
          </a:r>
          <a:r>
            <a:rPr lang="en-US" sz="900" i="0" u="none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Proxima Nova" panose="020B0503030502060204" pitchFamily="34" charset="0"/>
              <a:ea typeface="+mn-ea"/>
              <a:cs typeface="+mn-cs"/>
            </a:rPr>
            <a:t>the funding required for your </a:t>
          </a:r>
          <a:r>
            <a:rPr lang="en-US" sz="900" i="0" u="none">
              <a:solidFill>
                <a:schemeClr val="tx1">
                  <a:lumMod val="50000"/>
                  <a:lumOff val="50000"/>
                </a:schemeClr>
              </a:solidFill>
              <a:effectLst/>
              <a:latin typeface="Proxima Nova" panose="020B0503030502060204" pitchFamily="34" charset="0"/>
              <a:ea typeface="+mn-ea"/>
              <a:cs typeface="+mn-cs"/>
            </a:rPr>
            <a:t>desired size building and what you can afford today.</a:t>
          </a:r>
        </a:p>
        <a:p>
          <a:endParaRPr lang="en-US" sz="1100"/>
        </a:p>
      </xdr:txBody>
    </xdr:sp>
    <xdr:clientData/>
  </xdr:twoCellAnchor>
  <xdr:twoCellAnchor>
    <xdr:from>
      <xdr:col>3</xdr:col>
      <xdr:colOff>14114</xdr:colOff>
      <xdr:row>0</xdr:row>
      <xdr:rowOff>825500</xdr:rowOff>
    </xdr:from>
    <xdr:to>
      <xdr:col>3</xdr:col>
      <xdr:colOff>328682</xdr:colOff>
      <xdr:row>0</xdr:row>
      <xdr:rowOff>1058393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AD088D3-D956-4F24-8100-B2AB5350A10E}"/>
            </a:ext>
          </a:extLst>
        </xdr:cNvPr>
        <xdr:cNvSpPr/>
      </xdr:nvSpPr>
      <xdr:spPr>
        <a:xfrm>
          <a:off x="3167947" y="825500"/>
          <a:ext cx="314568" cy="232893"/>
        </a:xfrm>
        <a:prstGeom prst="rect">
          <a:avLst/>
        </a:prstGeom>
        <a:solidFill>
          <a:srgbClr val="FFFFCC"/>
        </a:solidFill>
        <a:ln w="3175"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338307</xdr:colOff>
      <xdr:row>0</xdr:row>
      <xdr:rowOff>828576</xdr:rowOff>
    </xdr:from>
    <xdr:to>
      <xdr:col>4</xdr:col>
      <xdr:colOff>269740</xdr:colOff>
      <xdr:row>0</xdr:row>
      <xdr:rowOff>1060175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BFD29BB-2FF0-419A-A372-6C28EF99DEEC}"/>
            </a:ext>
          </a:extLst>
        </xdr:cNvPr>
        <xdr:cNvSpPr txBox="1"/>
      </xdr:nvSpPr>
      <xdr:spPr>
        <a:xfrm>
          <a:off x="3487330" y="828576"/>
          <a:ext cx="941660" cy="231599"/>
        </a:xfrm>
        <a:prstGeom prst="rect">
          <a:avLst/>
        </a:prstGeom>
        <a:solidFill>
          <a:schemeClr val="lt1"/>
        </a:solidFill>
        <a:ln w="31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latin typeface="Proxima Nova" panose="020B0503030502060204" pitchFamily="34" charset="0"/>
            </a:rPr>
            <a:t>Input</a:t>
          </a:r>
          <a:r>
            <a:rPr lang="en-US" sz="1100" b="1" baseline="0">
              <a:latin typeface="Proxima Nova" panose="020B0503030502060204" pitchFamily="34" charset="0"/>
            </a:rPr>
            <a:t> Cell</a:t>
          </a:r>
          <a:endParaRPr lang="en-US" sz="1100" b="1">
            <a:latin typeface="Proxima Nova" panose="020B050303050206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68580</xdr:rowOff>
    </xdr:from>
    <xdr:to>
      <xdr:col>9</xdr:col>
      <xdr:colOff>137160</xdr:colOff>
      <xdr:row>1</xdr:row>
      <xdr:rowOff>22860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251DB1-EFC6-4FC7-91A7-119CE7239A26}"/>
            </a:ext>
          </a:extLst>
        </xdr:cNvPr>
        <xdr:cNvSpPr txBox="1"/>
      </xdr:nvSpPr>
      <xdr:spPr>
        <a:xfrm>
          <a:off x="3375660" y="68580"/>
          <a:ext cx="4701540" cy="10972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 b="1">
              <a:solidFill>
                <a:schemeClr val="tx1"/>
              </a:solidFill>
              <a:latin typeface="Proxima Nova" panose="020B0503030502060204" pitchFamily="34" charset="0"/>
            </a:rPr>
            <a:t>Your Church</a:t>
          </a:r>
          <a:r>
            <a:rPr lang="en-US" sz="2800" b="1" baseline="0">
              <a:solidFill>
                <a:schemeClr val="tx1"/>
              </a:solidFill>
              <a:latin typeface="Proxima Nova" panose="020B0503030502060204" pitchFamily="34" charset="0"/>
            </a:rPr>
            <a:t> Data</a:t>
          </a:r>
          <a:r>
            <a:rPr lang="en-US" sz="1600" b="0" i="1">
              <a:solidFill>
                <a:schemeClr val="tx1"/>
              </a:solidFill>
              <a:latin typeface="Proxima Nova" panose="020B0503030502060204" pitchFamily="34" charset="0"/>
            </a:rPr>
            <a:t> </a:t>
          </a:r>
        </a:p>
        <a:p>
          <a:pPr algn="ctr"/>
          <a:r>
            <a:rPr lang="en-US" sz="2400" b="1" i="0">
              <a:solidFill>
                <a:srgbClr val="0F658A"/>
              </a:solidFill>
              <a:latin typeface="Proxima Nova" panose="020B0503030502060204" pitchFamily="34" charset="0"/>
            </a:rPr>
            <a:t>Building Affordability Worksheet</a:t>
          </a:r>
        </a:p>
      </xdr:txBody>
    </xdr:sp>
    <xdr:clientData/>
  </xdr:twoCellAnchor>
  <xdr:twoCellAnchor editAs="oneCell">
    <xdr:from>
      <xdr:col>1</xdr:col>
      <xdr:colOff>76200</xdr:colOff>
      <xdr:row>0</xdr:row>
      <xdr:rowOff>132111</xdr:rowOff>
    </xdr:from>
    <xdr:to>
      <xdr:col>1</xdr:col>
      <xdr:colOff>2438400</xdr:colOff>
      <xdr:row>0</xdr:row>
      <xdr:rowOff>1026794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C5E9D2-02F8-4A8F-BA85-9CA17E148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2111"/>
          <a:ext cx="2362200" cy="8946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464820</xdr:colOff>
      <xdr:row>0</xdr:row>
      <xdr:rowOff>175890</xdr:rowOff>
    </xdr:from>
    <xdr:to>
      <xdr:col>12</xdr:col>
      <xdr:colOff>723900</xdr:colOff>
      <xdr:row>0</xdr:row>
      <xdr:rowOff>1074420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910840" y="175890"/>
          <a:ext cx="7383780" cy="8985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 b="1">
              <a:solidFill>
                <a:srgbClr val="0F658A"/>
              </a:solidFill>
              <a:latin typeface="Proxima Nova" panose="020B0503030502060204" pitchFamily="34" charset="0"/>
            </a:rPr>
            <a:t>Typical Church Space Allocations</a:t>
          </a:r>
        </a:p>
        <a:p>
          <a:pPr algn="ctr"/>
          <a:r>
            <a:rPr lang="en-US" sz="1600" b="0" i="1">
              <a:solidFill>
                <a:schemeClr val="tx1"/>
              </a:solidFill>
              <a:latin typeface="Proxima Nova" panose="020B0503030502060204" pitchFamily="34" charset="0"/>
            </a:rPr>
            <a:t>Square</a:t>
          </a:r>
          <a:r>
            <a:rPr lang="en-US" sz="1600" b="0" i="1" baseline="0">
              <a:solidFill>
                <a:schemeClr val="tx1"/>
              </a:solidFill>
              <a:latin typeface="Proxima Nova" panose="020B0503030502060204" pitchFamily="34" charset="0"/>
            </a:rPr>
            <a:t> Feet </a:t>
          </a:r>
          <a:r>
            <a:rPr lang="en-US" sz="1400" b="0" i="1" baseline="0">
              <a:solidFill>
                <a:schemeClr val="tx1"/>
              </a:solidFill>
              <a:latin typeface="Proxima Nova" panose="020B0503030502060204" pitchFamily="34" charset="0"/>
            </a:rPr>
            <a:t>per</a:t>
          </a:r>
          <a:r>
            <a:rPr lang="en-US" sz="1600" b="0" i="1" baseline="0">
              <a:solidFill>
                <a:schemeClr val="tx1"/>
              </a:solidFill>
              <a:latin typeface="Proxima Nova" panose="020B0503030502060204" pitchFamily="34" charset="0"/>
            </a:rPr>
            <a:t> Room</a:t>
          </a:r>
          <a:endParaRPr lang="en-US" sz="1600" b="0" i="1">
            <a:solidFill>
              <a:schemeClr val="tx1"/>
            </a:solidFill>
            <a:latin typeface="Proxima Nova" panose="020B0503030502060204" pitchFamily="34" charset="0"/>
          </a:endParaRPr>
        </a:p>
      </xdr:txBody>
    </xdr:sp>
    <xdr:clientData/>
  </xdr:twoCellAnchor>
  <xdr:twoCellAnchor editAs="oneCell">
    <xdr:from>
      <xdr:col>1</xdr:col>
      <xdr:colOff>76200</xdr:colOff>
      <xdr:row>0</xdr:row>
      <xdr:rowOff>132111</xdr:rowOff>
    </xdr:from>
    <xdr:to>
      <xdr:col>2</xdr:col>
      <xdr:colOff>144780</xdr:colOff>
      <xdr:row>0</xdr:row>
      <xdr:rowOff>1026794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2111"/>
          <a:ext cx="2362200" cy="89468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171"/>
  <sheetViews>
    <sheetView tabSelected="1" zoomScale="90" zoomScaleNormal="90" zoomScaleSheetLayoutView="50" workbookViewId="0">
      <selection activeCell="D4" sqref="D4"/>
    </sheetView>
  </sheetViews>
  <sheetFormatPr defaultColWidth="8.81640625" defaultRowHeight="15" x14ac:dyDescent="0.4"/>
  <cols>
    <col min="1" max="1" width="2" style="2" customWidth="1"/>
    <col min="2" max="2" width="35.36328125" style="2" customWidth="1"/>
    <col min="3" max="3" width="7.7265625" style="1" customWidth="1"/>
    <col min="4" max="4" width="14.453125" style="2" customWidth="1"/>
    <col min="5" max="5" width="16.26953125" style="2" customWidth="1"/>
    <col min="6" max="7" width="15.7265625" style="2" customWidth="1"/>
    <col min="8" max="8" width="17.26953125" style="2" customWidth="1"/>
    <col min="9" max="10" width="14.7265625" style="2" customWidth="1"/>
    <col min="11" max="11" width="8.81640625" style="2"/>
    <col min="12" max="12" width="13.26953125" style="2" customWidth="1"/>
    <col min="13" max="16384" width="8.81640625" style="2"/>
  </cols>
  <sheetData>
    <row r="1" spans="2:8" ht="92.5" customHeight="1" x14ac:dyDescent="0.4"/>
    <row r="2" spans="2:8" ht="18" customHeight="1" x14ac:dyDescent="0.4">
      <c r="B2" s="134" t="s">
        <v>69</v>
      </c>
      <c r="C2" s="135"/>
      <c r="D2" s="136"/>
      <c r="E2" s="136"/>
      <c r="F2" s="136"/>
      <c r="G2" s="136"/>
      <c r="H2" s="136"/>
    </row>
    <row r="3" spans="2:8" ht="6.65" customHeight="1" x14ac:dyDescent="0.4"/>
    <row r="4" spans="2:8" ht="14.5" customHeight="1" x14ac:dyDescent="0.4">
      <c r="B4" s="97" t="s">
        <v>83</v>
      </c>
      <c r="D4" s="72">
        <v>350</v>
      </c>
    </row>
    <row r="5" spans="2:8" ht="14.5" customHeight="1" x14ac:dyDescent="0.4">
      <c r="B5" s="97" t="s">
        <v>20</v>
      </c>
      <c r="C5" s="2"/>
      <c r="D5" s="72">
        <v>600</v>
      </c>
      <c r="E5" s="108" t="s">
        <v>70</v>
      </c>
    </row>
    <row r="6" spans="2:8" ht="14.5" customHeight="1" x14ac:dyDescent="0.4">
      <c r="B6" s="23" t="s">
        <v>93</v>
      </c>
      <c r="C6" s="2"/>
      <c r="D6" s="62">
        <v>50</v>
      </c>
      <c r="E6" s="109" t="s">
        <v>71</v>
      </c>
    </row>
    <row r="7" spans="2:8" ht="14.5" customHeight="1" x14ac:dyDescent="0.4">
      <c r="B7" s="23" t="s">
        <v>73</v>
      </c>
      <c r="C7" s="2"/>
      <c r="D7" s="130">
        <f>D5*D6</f>
        <v>30000</v>
      </c>
      <c r="E7" s="129"/>
    </row>
    <row r="8" spans="2:8" ht="14.5" customHeight="1" x14ac:dyDescent="0.4"/>
    <row r="9" spans="2:8" ht="18" customHeight="1" x14ac:dyDescent="0.4">
      <c r="B9" s="134" t="s">
        <v>72</v>
      </c>
      <c r="C9" s="135"/>
      <c r="D9" s="136"/>
      <c r="E9" s="136"/>
      <c r="F9" s="136"/>
      <c r="G9" s="136"/>
      <c r="H9" s="136"/>
    </row>
    <row r="10" spans="2:8" ht="6.65" customHeight="1" x14ac:dyDescent="0.4">
      <c r="B10" s="59"/>
    </row>
    <row r="11" spans="2:8" ht="18" customHeight="1" x14ac:dyDescent="0.45">
      <c r="B11" s="111" t="s">
        <v>111</v>
      </c>
      <c r="C11" s="110" t="s">
        <v>112</v>
      </c>
    </row>
    <row r="12" spans="2:8" ht="18" customHeight="1" x14ac:dyDescent="0.45">
      <c r="B12" s="112" t="s">
        <v>113</v>
      </c>
    </row>
    <row r="13" spans="2:8" ht="6" customHeight="1" x14ac:dyDescent="0.4">
      <c r="D13" s="9"/>
      <c r="E13" s="24"/>
      <c r="F13" s="22"/>
      <c r="G13" s="6"/>
      <c r="H13" s="6"/>
    </row>
    <row r="14" spans="2:8" ht="16.149999999999999" customHeight="1" x14ac:dyDescent="0.4">
      <c r="B14" s="174" t="s">
        <v>107</v>
      </c>
      <c r="C14" s="174"/>
      <c r="D14" s="174"/>
      <c r="E14" s="174"/>
      <c r="F14" s="174"/>
      <c r="G14" s="174"/>
      <c r="H14" s="174"/>
    </row>
    <row r="15" spans="2:8" ht="16.149999999999999" customHeight="1" x14ac:dyDescent="0.4">
      <c r="B15" s="89" t="s">
        <v>0</v>
      </c>
      <c r="C15" s="90"/>
      <c r="D15" s="91">
        <v>300</v>
      </c>
      <c r="E15" s="91">
        <v>400</v>
      </c>
      <c r="F15" s="91">
        <v>500</v>
      </c>
      <c r="G15" s="163">
        <v>600</v>
      </c>
      <c r="H15" s="91">
        <v>700</v>
      </c>
    </row>
    <row r="16" spans="2:8" ht="14.5" customHeight="1" x14ac:dyDescent="0.4">
      <c r="B16" s="11" t="s">
        <v>1</v>
      </c>
      <c r="D16" s="98">
        <f>D15*50</f>
        <v>15000</v>
      </c>
      <c r="E16" s="98">
        <f t="shared" ref="E16:H16" si="0">E15*50</f>
        <v>20000</v>
      </c>
      <c r="F16" s="98">
        <f t="shared" si="0"/>
        <v>25000</v>
      </c>
      <c r="G16" s="164">
        <f t="shared" si="0"/>
        <v>30000</v>
      </c>
      <c r="H16" s="98">
        <f t="shared" si="0"/>
        <v>35000</v>
      </c>
    </row>
    <row r="17" spans="2:10" ht="14.5" customHeight="1" x14ac:dyDescent="0.4">
      <c r="B17" s="99" t="s">
        <v>21</v>
      </c>
      <c r="C17" s="86">
        <v>200</v>
      </c>
      <c r="D17" s="4">
        <f>D16*$C17</f>
        <v>3000000</v>
      </c>
      <c r="E17" s="4">
        <f>E16*$C17</f>
        <v>4000000</v>
      </c>
      <c r="F17" s="4">
        <f>F16*$C17</f>
        <v>5000000</v>
      </c>
      <c r="G17" s="169">
        <f>G16*$C17</f>
        <v>6000000</v>
      </c>
      <c r="H17" s="4">
        <f>H16*$C17</f>
        <v>7000000</v>
      </c>
    </row>
    <row r="18" spans="2:10" ht="6" customHeight="1" x14ac:dyDescent="0.4">
      <c r="D18" s="9"/>
      <c r="E18" s="24"/>
      <c r="F18" s="22"/>
      <c r="G18" s="6"/>
      <c r="H18" s="6"/>
    </row>
    <row r="19" spans="2:10" ht="16.149999999999999" customHeight="1" x14ac:dyDescent="0.4">
      <c r="B19" s="174" t="s">
        <v>62</v>
      </c>
      <c r="C19" s="174"/>
      <c r="D19" s="174"/>
      <c r="E19" s="174"/>
      <c r="F19" s="174"/>
      <c r="G19" s="174"/>
      <c r="H19" s="174"/>
    </row>
    <row r="20" spans="2:10" ht="16.149999999999999" customHeight="1" x14ac:dyDescent="0.4">
      <c r="B20" s="89" t="s">
        <v>0</v>
      </c>
      <c r="C20" s="92"/>
      <c r="D20" s="91">
        <v>300</v>
      </c>
      <c r="E20" s="91">
        <v>400</v>
      </c>
      <c r="F20" s="91">
        <v>500</v>
      </c>
      <c r="G20" s="163">
        <v>600</v>
      </c>
      <c r="H20" s="91">
        <v>700</v>
      </c>
    </row>
    <row r="21" spans="2:10" ht="14.5" customHeight="1" x14ac:dyDescent="0.4">
      <c r="B21" s="11" t="s">
        <v>1</v>
      </c>
      <c r="D21" s="98">
        <f>D20*50</f>
        <v>15000</v>
      </c>
      <c r="E21" s="98">
        <f>E20*50</f>
        <v>20000</v>
      </c>
      <c r="F21" s="98">
        <f>F20*50</f>
        <v>25000</v>
      </c>
      <c r="G21" s="164">
        <f>G20*50</f>
        <v>30000</v>
      </c>
      <c r="H21" s="98">
        <f>H20*50</f>
        <v>35000</v>
      </c>
    </row>
    <row r="22" spans="2:10" ht="14.5" customHeight="1" x14ac:dyDescent="0.4">
      <c r="B22" s="99" t="s">
        <v>21</v>
      </c>
      <c r="C22" s="86">
        <v>350</v>
      </c>
      <c r="D22" s="4">
        <f>D30*$C22</f>
        <v>5250000</v>
      </c>
      <c r="E22" s="4">
        <f>E30*$C22</f>
        <v>7000000</v>
      </c>
      <c r="F22" s="4">
        <f>F30*$C22</f>
        <v>8750000</v>
      </c>
      <c r="G22" s="165">
        <f>G30*$C22</f>
        <v>10500000</v>
      </c>
      <c r="H22" s="4">
        <f>H21*C22</f>
        <v>12250000</v>
      </c>
    </row>
    <row r="23" spans="2:10" ht="6.65" customHeight="1" x14ac:dyDescent="0.4">
      <c r="B23" s="14"/>
      <c r="C23" s="93"/>
      <c r="D23" s="4"/>
      <c r="E23" s="4"/>
      <c r="F23" s="4"/>
      <c r="G23" s="165"/>
      <c r="H23" s="4"/>
    </row>
    <row r="24" spans="2:10" ht="16.149999999999999" customHeight="1" x14ac:dyDescent="0.4">
      <c r="B24" s="5" t="s">
        <v>4</v>
      </c>
      <c r="G24" s="167"/>
    </row>
    <row r="25" spans="2:10" ht="14.5" customHeight="1" x14ac:dyDescent="0.4">
      <c r="B25" s="11" t="s">
        <v>2</v>
      </c>
      <c r="C25" s="70">
        <v>0.3</v>
      </c>
      <c r="D25" s="6">
        <f>D22*$C25</f>
        <v>1575000</v>
      </c>
      <c r="E25" s="6">
        <f>E22*$C25</f>
        <v>2100000</v>
      </c>
      <c r="F25" s="6">
        <f>F22*$C25</f>
        <v>2625000</v>
      </c>
      <c r="G25" s="168">
        <f>G22*$C25</f>
        <v>3150000</v>
      </c>
      <c r="H25" s="6">
        <f>H22*$C25</f>
        <v>3675000</v>
      </c>
    </row>
    <row r="26" spans="2:10" ht="14.5" customHeight="1" x14ac:dyDescent="0.4">
      <c r="B26" s="11" t="s">
        <v>3</v>
      </c>
      <c r="C26" s="7">
        <f>--1-C25</f>
        <v>0.7</v>
      </c>
      <c r="D26" s="6">
        <f>D22*$C26</f>
        <v>3674999.9999999995</v>
      </c>
      <c r="E26" s="6">
        <f>E22*$C26</f>
        <v>4900000</v>
      </c>
      <c r="F26" s="6">
        <f>F22*$C26</f>
        <v>6125000</v>
      </c>
      <c r="G26" s="166">
        <f>G22*$C26</f>
        <v>7349999.9999999991</v>
      </c>
      <c r="H26" s="6">
        <f>H22*$C26</f>
        <v>8575000</v>
      </c>
    </row>
    <row r="27" spans="2:10" ht="6" customHeight="1" x14ac:dyDescent="0.4">
      <c r="D27" s="9"/>
      <c r="E27" s="24"/>
      <c r="F27" s="22"/>
      <c r="G27" s="6"/>
      <c r="H27" s="6"/>
    </row>
    <row r="28" spans="2:10" ht="16" x14ac:dyDescent="0.4">
      <c r="B28" s="174" t="s">
        <v>106</v>
      </c>
      <c r="C28" s="174"/>
      <c r="D28" s="174"/>
      <c r="E28" s="174"/>
      <c r="F28" s="174"/>
      <c r="G28" s="174"/>
      <c r="H28" s="174"/>
    </row>
    <row r="29" spans="2:10" ht="16" x14ac:dyDescent="0.4">
      <c r="B29" s="89" t="s">
        <v>0</v>
      </c>
      <c r="C29" s="90"/>
      <c r="D29" s="91">
        <v>300</v>
      </c>
      <c r="E29" s="91">
        <v>400</v>
      </c>
      <c r="F29" s="91">
        <v>500</v>
      </c>
      <c r="G29" s="163">
        <v>600</v>
      </c>
      <c r="H29" s="91">
        <v>700</v>
      </c>
      <c r="J29" s="3"/>
    </row>
    <row r="30" spans="2:10" ht="14.5" customHeight="1" x14ac:dyDescent="0.4">
      <c r="B30" s="11" t="s">
        <v>1</v>
      </c>
      <c r="D30" s="98">
        <f>D29*50</f>
        <v>15000</v>
      </c>
      <c r="E30" s="98">
        <f t="shared" ref="E30:H30" si="1">E29*50</f>
        <v>20000</v>
      </c>
      <c r="F30" s="98">
        <f t="shared" si="1"/>
        <v>25000</v>
      </c>
      <c r="G30" s="164">
        <f t="shared" si="1"/>
        <v>30000</v>
      </c>
      <c r="H30" s="98">
        <f t="shared" si="1"/>
        <v>35000</v>
      </c>
    </row>
    <row r="31" spans="2:10" ht="16" x14ac:dyDescent="0.4">
      <c r="B31" s="99" t="s">
        <v>21</v>
      </c>
      <c r="C31" s="86">
        <v>490</v>
      </c>
      <c r="D31" s="4">
        <f>D30*$C31</f>
        <v>7350000</v>
      </c>
      <c r="E31" s="4">
        <f>E30*$C31</f>
        <v>9800000</v>
      </c>
      <c r="F31" s="4">
        <f>F30*$C31</f>
        <v>12250000</v>
      </c>
      <c r="G31" s="165">
        <f>G30*$C31</f>
        <v>14700000</v>
      </c>
      <c r="H31" s="4">
        <f>H30*$C31</f>
        <v>17150000</v>
      </c>
      <c r="J31" s="3"/>
    </row>
    <row r="32" spans="2:10" ht="6.65" customHeight="1" x14ac:dyDescent="0.4">
      <c r="B32" s="14"/>
      <c r="C32" s="93"/>
      <c r="D32" s="4"/>
      <c r="E32" s="4"/>
      <c r="F32" s="4"/>
      <c r="G32" s="165"/>
      <c r="H32" s="4"/>
      <c r="J32" s="3"/>
    </row>
    <row r="33" spans="2:10" ht="16" x14ac:dyDescent="0.4">
      <c r="B33" s="5" t="s">
        <v>4</v>
      </c>
      <c r="G33" s="167"/>
      <c r="J33" s="3"/>
    </row>
    <row r="34" spans="2:10" x14ac:dyDescent="0.4">
      <c r="B34" s="11" t="s">
        <v>2</v>
      </c>
      <c r="C34" s="70">
        <v>0.3</v>
      </c>
      <c r="D34" s="6">
        <f>D31*$C34</f>
        <v>2205000</v>
      </c>
      <c r="E34" s="6">
        <f>E31*$C34</f>
        <v>2940000</v>
      </c>
      <c r="F34" s="6">
        <f>F31*$C34</f>
        <v>3675000</v>
      </c>
      <c r="G34" s="168">
        <f>G31*$C34</f>
        <v>4410000</v>
      </c>
      <c r="H34" s="6">
        <f>H31*$C34</f>
        <v>5145000</v>
      </c>
    </row>
    <row r="35" spans="2:10" x14ac:dyDescent="0.4">
      <c r="B35" s="11" t="s">
        <v>3</v>
      </c>
      <c r="C35" s="7">
        <f>--1-C34</f>
        <v>0.7</v>
      </c>
      <c r="D35" s="6">
        <f>D31*$C35</f>
        <v>5145000</v>
      </c>
      <c r="E35" s="6">
        <f>E31*$C35</f>
        <v>6860000</v>
      </c>
      <c r="F35" s="6">
        <f>F31*$C35</f>
        <v>8575000</v>
      </c>
      <c r="G35" s="166">
        <f>G31*$C35</f>
        <v>10290000</v>
      </c>
      <c r="H35" s="6">
        <f>H31*$C35</f>
        <v>12005000</v>
      </c>
    </row>
    <row r="36" spans="2:10" x14ac:dyDescent="0.4">
      <c r="B36" s="11"/>
      <c r="C36" s="7"/>
      <c r="D36" s="6"/>
      <c r="E36" s="6"/>
      <c r="F36" s="6"/>
      <c r="G36" s="6"/>
      <c r="H36" s="6"/>
    </row>
    <row r="37" spans="2:10" ht="21.5" x14ac:dyDescent="0.4">
      <c r="B37" s="160" t="s">
        <v>74</v>
      </c>
      <c r="C37" s="161"/>
      <c r="D37" s="162"/>
      <c r="E37" s="162"/>
      <c r="F37" s="162"/>
      <c r="G37" s="162"/>
      <c r="H37" s="162"/>
    </row>
    <row r="39" spans="2:10" ht="21.5" x14ac:dyDescent="0.4">
      <c r="B39" s="134" t="s">
        <v>100</v>
      </c>
      <c r="C39" s="137"/>
      <c r="D39" s="138"/>
      <c r="E39" s="138"/>
      <c r="F39" s="138"/>
      <c r="G39" s="138"/>
      <c r="H39" s="138"/>
    </row>
    <row r="40" spans="2:10" ht="6" customHeight="1" x14ac:dyDescent="0.4">
      <c r="D40" s="9"/>
      <c r="E40" s="24"/>
      <c r="F40" s="22"/>
      <c r="G40" s="6"/>
      <c r="H40" s="6"/>
    </row>
    <row r="41" spans="2:10" ht="16" x14ac:dyDescent="0.4">
      <c r="B41" s="97" t="s">
        <v>21</v>
      </c>
      <c r="C41" s="7"/>
      <c r="D41" s="71">
        <v>490</v>
      </c>
      <c r="E41" s="28" t="s">
        <v>99</v>
      </c>
      <c r="F41" s="6"/>
      <c r="G41" s="34"/>
      <c r="H41" s="6"/>
    </row>
    <row r="42" spans="2:10" ht="16" x14ac:dyDescent="0.4">
      <c r="B42" s="23" t="s">
        <v>19</v>
      </c>
      <c r="C42" s="7"/>
      <c r="E42" s="29">
        <f>-D7*D41</f>
        <v>-14700000</v>
      </c>
      <c r="F42" s="6"/>
      <c r="G42" s="6"/>
      <c r="H42" s="6"/>
    </row>
    <row r="43" spans="2:10" x14ac:dyDescent="0.4">
      <c r="B43" s="11"/>
      <c r="C43" s="7"/>
      <c r="D43" s="6"/>
      <c r="E43" s="6"/>
      <c r="F43" s="6"/>
      <c r="G43" s="6"/>
      <c r="H43" s="6"/>
    </row>
    <row r="44" spans="2:10" ht="21.5" x14ac:dyDescent="0.4">
      <c r="B44" s="134" t="s">
        <v>114</v>
      </c>
      <c r="C44" s="137"/>
      <c r="D44" s="138"/>
      <c r="E44" s="138"/>
      <c r="F44" s="138"/>
      <c r="G44" s="138"/>
      <c r="H44" s="138"/>
    </row>
    <row r="45" spans="2:10" ht="6" customHeight="1" x14ac:dyDescent="0.4">
      <c r="D45" s="9"/>
      <c r="E45" s="24"/>
      <c r="F45" s="22"/>
      <c r="G45" s="6"/>
      <c r="H45" s="6"/>
    </row>
    <row r="46" spans="2:10" ht="16" x14ac:dyDescent="0.4">
      <c r="B46" s="97" t="s">
        <v>22</v>
      </c>
      <c r="C46" s="7"/>
      <c r="D46" s="71">
        <v>400000</v>
      </c>
      <c r="E46" s="6"/>
      <c r="F46" s="6"/>
      <c r="G46" s="6"/>
      <c r="H46" s="6"/>
    </row>
    <row r="47" spans="2:10" ht="16" x14ac:dyDescent="0.4">
      <c r="B47" s="97" t="s">
        <v>23</v>
      </c>
      <c r="C47" s="7"/>
      <c r="D47" s="71">
        <v>0</v>
      </c>
      <c r="E47" s="127" t="s">
        <v>86</v>
      </c>
      <c r="F47" s="6"/>
      <c r="G47" s="6"/>
      <c r="H47" s="6"/>
    </row>
    <row r="48" spans="2:10" ht="16" x14ac:dyDescent="0.4">
      <c r="B48" s="27" t="s">
        <v>24</v>
      </c>
      <c r="C48" s="7"/>
      <c r="D48" s="6"/>
      <c r="E48" s="60">
        <f>D46+D47</f>
        <v>400000</v>
      </c>
      <c r="F48" s="6"/>
      <c r="G48" s="6"/>
      <c r="H48" s="6"/>
    </row>
    <row r="49" spans="2:8" ht="16" x14ac:dyDescent="0.4">
      <c r="B49" s="15"/>
      <c r="C49" s="7"/>
      <c r="D49" s="6"/>
      <c r="E49" s="6"/>
      <c r="F49" s="6"/>
      <c r="G49" s="6"/>
      <c r="H49" s="6"/>
    </row>
    <row r="50" spans="2:8" ht="21.5" x14ac:dyDescent="0.4">
      <c r="B50" s="134" t="s">
        <v>101</v>
      </c>
      <c r="C50" s="137"/>
      <c r="D50" s="138"/>
      <c r="E50" s="138"/>
      <c r="F50" s="138"/>
      <c r="G50" s="138"/>
      <c r="H50" s="138"/>
    </row>
    <row r="51" spans="2:8" ht="6" customHeight="1" x14ac:dyDescent="0.4">
      <c r="D51" s="9"/>
      <c r="E51" s="24"/>
      <c r="F51" s="22"/>
      <c r="G51" s="6"/>
      <c r="H51" s="6"/>
    </row>
    <row r="52" spans="2:8" ht="16" x14ac:dyDescent="0.4">
      <c r="B52" s="97" t="s">
        <v>18</v>
      </c>
      <c r="D52" s="71">
        <v>970000</v>
      </c>
    </row>
    <row r="53" spans="2:8" x14ac:dyDescent="0.4">
      <c r="B53" s="39" t="s">
        <v>17</v>
      </c>
      <c r="C53" s="69">
        <v>1.5</v>
      </c>
      <c r="D53" s="9">
        <f>C53*$D52</f>
        <v>1455000</v>
      </c>
      <c r="E53" s="9"/>
      <c r="F53" s="9"/>
      <c r="G53" s="9"/>
      <c r="H53" s="9"/>
    </row>
    <row r="54" spans="2:8" x14ac:dyDescent="0.4">
      <c r="B54" s="39" t="s">
        <v>16</v>
      </c>
      <c r="C54" s="69">
        <v>2</v>
      </c>
      <c r="D54" s="9">
        <f>C54*$D52</f>
        <v>1940000</v>
      </c>
      <c r="F54" s="10"/>
      <c r="G54" s="10"/>
      <c r="H54" s="10"/>
    </row>
    <row r="55" spans="2:8" x14ac:dyDescent="0.4">
      <c r="B55" s="39" t="s">
        <v>15</v>
      </c>
      <c r="C55" s="69">
        <v>2.5</v>
      </c>
      <c r="D55" s="9">
        <f>C55*$D52</f>
        <v>2425000</v>
      </c>
      <c r="E55" s="9"/>
      <c r="F55" s="9"/>
      <c r="G55" s="9"/>
      <c r="H55" s="9"/>
    </row>
    <row r="56" spans="2:8" x14ac:dyDescent="0.4">
      <c r="B56" s="39" t="s">
        <v>52</v>
      </c>
      <c r="C56" s="69">
        <v>3</v>
      </c>
      <c r="D56" s="9">
        <f>C56*$D52</f>
        <v>2910000</v>
      </c>
      <c r="E56" s="9"/>
      <c r="F56" s="9"/>
      <c r="G56" s="9"/>
      <c r="H56" s="9"/>
    </row>
    <row r="57" spans="2:8" ht="16" x14ac:dyDescent="0.4">
      <c r="B57" s="97" t="s">
        <v>53</v>
      </c>
      <c r="C57" s="69">
        <f>D57/D52</f>
        <v>2.0618556701030926</v>
      </c>
      <c r="D57" s="71">
        <v>2000000</v>
      </c>
      <c r="E57" s="80" t="s">
        <v>56</v>
      </c>
      <c r="F57" s="9"/>
      <c r="G57" s="9"/>
      <c r="H57" s="9"/>
    </row>
    <row r="58" spans="2:8" ht="16" x14ac:dyDescent="0.4">
      <c r="B58" s="97" t="s">
        <v>63</v>
      </c>
      <c r="C58" s="72">
        <v>3</v>
      </c>
      <c r="D58" s="170" t="s">
        <v>116</v>
      </c>
      <c r="E58" s="80"/>
      <c r="F58" s="9"/>
      <c r="G58" s="9"/>
      <c r="H58" s="9"/>
    </row>
    <row r="59" spans="2:8" ht="16" x14ac:dyDescent="0.4">
      <c r="B59" s="97" t="s">
        <v>115</v>
      </c>
      <c r="C59" s="70">
        <v>0.65</v>
      </c>
      <c r="E59" s="74">
        <f>D57*C59</f>
        <v>1300000</v>
      </c>
      <c r="F59" s="79" t="s">
        <v>55</v>
      </c>
      <c r="G59" s="6"/>
      <c r="H59" s="6"/>
    </row>
    <row r="60" spans="2:8" ht="16" x14ac:dyDescent="0.4">
      <c r="B60" s="15"/>
      <c r="C60" s="7"/>
      <c r="D60" s="25"/>
      <c r="F60" s="79" t="s">
        <v>68</v>
      </c>
      <c r="G60" s="6"/>
      <c r="H60" s="6"/>
    </row>
    <row r="61" spans="2:8" ht="21.5" x14ac:dyDescent="0.4">
      <c r="B61" s="134" t="s">
        <v>102</v>
      </c>
      <c r="C61" s="139"/>
      <c r="D61" s="140"/>
      <c r="E61" s="141"/>
      <c r="F61" s="138"/>
      <c r="G61" s="138"/>
      <c r="H61" s="138"/>
    </row>
    <row r="62" spans="2:8" ht="6" customHeight="1" x14ac:dyDescent="0.4">
      <c r="D62" s="9"/>
      <c r="E62" s="24"/>
      <c r="F62" s="22"/>
      <c r="G62" s="6"/>
      <c r="H62" s="6"/>
    </row>
    <row r="63" spans="2:8" ht="16" x14ac:dyDescent="0.4">
      <c r="B63" s="23" t="s">
        <v>65</v>
      </c>
      <c r="D63" s="8">
        <f>D52</f>
        <v>970000</v>
      </c>
      <c r="E63" s="8"/>
      <c r="F63" s="8"/>
      <c r="G63" s="6"/>
      <c r="H63" s="6"/>
    </row>
    <row r="64" spans="2:8" ht="16" x14ac:dyDescent="0.4">
      <c r="B64" s="23" t="s">
        <v>118</v>
      </c>
      <c r="C64" s="107">
        <v>2.5</v>
      </c>
      <c r="D64" s="9">
        <f>D63*C64</f>
        <v>2425000</v>
      </c>
      <c r="E64" s="94">
        <f>D64</f>
        <v>2425000</v>
      </c>
      <c r="H64" s="6"/>
    </row>
    <row r="65" spans="2:8" ht="6" customHeight="1" x14ac:dyDescent="0.4">
      <c r="C65" s="2"/>
      <c r="E65" s="95"/>
      <c r="H65" s="6"/>
    </row>
    <row r="66" spans="2:8" ht="16" x14ac:dyDescent="0.4">
      <c r="B66" s="23" t="s">
        <v>117</v>
      </c>
      <c r="C66" s="70">
        <f>1-C59</f>
        <v>0.35</v>
      </c>
      <c r="D66" s="8">
        <f>C66*D57</f>
        <v>700000</v>
      </c>
      <c r="E66" s="95"/>
      <c r="F66" s="125" t="s">
        <v>64</v>
      </c>
    </row>
    <row r="67" spans="2:8" ht="16" x14ac:dyDescent="0.4">
      <c r="B67" s="23" t="s">
        <v>119</v>
      </c>
      <c r="C67" s="107">
        <v>2.5</v>
      </c>
      <c r="D67" s="96">
        <f>D66*C67</f>
        <v>1750000</v>
      </c>
      <c r="E67" s="171">
        <f>D67</f>
        <v>1750000</v>
      </c>
      <c r="F67" s="125" t="s">
        <v>13</v>
      </c>
      <c r="G67" s="6"/>
    </row>
    <row r="68" spans="2:8" ht="6.65" customHeight="1" x14ac:dyDescent="0.4">
      <c r="B68" s="23"/>
      <c r="D68" s="96"/>
      <c r="E68" s="94"/>
      <c r="F68" s="35"/>
      <c r="G68" s="6"/>
    </row>
    <row r="69" spans="2:8" ht="16.5" thickBot="1" x14ac:dyDescent="0.45">
      <c r="B69" s="15" t="s">
        <v>66</v>
      </c>
      <c r="E69" s="172">
        <f>D64+D67</f>
        <v>4175000</v>
      </c>
      <c r="F69" s="35"/>
      <c r="G69" s="6"/>
    </row>
    <row r="70" spans="2:8" ht="6.65" customHeight="1" thickTop="1" x14ac:dyDescent="0.4">
      <c r="B70" s="23"/>
      <c r="C70" s="52"/>
      <c r="D70" s="53"/>
      <c r="E70" s="51"/>
      <c r="F70" s="33"/>
      <c r="G70" s="6"/>
      <c r="H70" s="6"/>
    </row>
    <row r="71" spans="2:8" ht="16" x14ac:dyDescent="0.4">
      <c r="B71" s="23" t="s">
        <v>35</v>
      </c>
      <c r="C71" s="52"/>
      <c r="D71" s="13">
        <f>PMT(8%/12,25*12,E69)*12</f>
        <v>-386679.92590587452</v>
      </c>
      <c r="E71" s="51"/>
      <c r="F71" s="68" t="s">
        <v>8</v>
      </c>
      <c r="G71" s="6"/>
      <c r="H71" s="6"/>
    </row>
    <row r="72" spans="2:8" ht="16" x14ac:dyDescent="0.4">
      <c r="B72" s="15" t="s">
        <v>36</v>
      </c>
      <c r="C72" s="52"/>
      <c r="D72" s="100">
        <f>-D71/D52</f>
        <v>0.39863909887203558</v>
      </c>
      <c r="E72" s="51"/>
      <c r="F72" s="33"/>
      <c r="G72" s="6"/>
      <c r="H72" s="6"/>
    </row>
    <row r="73" spans="2:8" ht="16" x14ac:dyDescent="0.4">
      <c r="B73" s="15" t="s">
        <v>108</v>
      </c>
      <c r="C73" s="70">
        <v>0.35</v>
      </c>
      <c r="D73" s="9">
        <f>E69*C73/(1-C73)</f>
        <v>2248076.923076923</v>
      </c>
      <c r="E73" s="51"/>
      <c r="F73" s="33"/>
      <c r="G73" s="6"/>
      <c r="H73" s="6"/>
    </row>
    <row r="74" spans="2:8" ht="6.65" customHeight="1" x14ac:dyDescent="0.4">
      <c r="B74" s="15"/>
      <c r="C74" s="52"/>
      <c r="D74" s="100"/>
      <c r="E74" s="51"/>
      <c r="F74" s="33"/>
      <c r="G74" s="6"/>
      <c r="H74" s="6"/>
    </row>
    <row r="75" spans="2:8" ht="21.5" x14ac:dyDescent="0.4">
      <c r="B75" s="134" t="s">
        <v>26</v>
      </c>
      <c r="C75" s="135"/>
      <c r="D75" s="142"/>
      <c r="E75" s="147">
        <f>E42+E48+E59+E64+E67</f>
        <v>-8825000</v>
      </c>
      <c r="F75" s="143"/>
      <c r="G75" s="138"/>
      <c r="H75" s="138"/>
    </row>
    <row r="76" spans="2:8" ht="14.5" customHeight="1" x14ac:dyDescent="0.4">
      <c r="B76" s="59"/>
      <c r="D76" s="9"/>
      <c r="E76" s="29"/>
      <c r="F76" s="33"/>
      <c r="G76" s="6"/>
      <c r="H76" s="6"/>
    </row>
    <row r="77" spans="2:8" ht="21.5" x14ac:dyDescent="0.4">
      <c r="B77" s="134" t="s">
        <v>103</v>
      </c>
      <c r="C77" s="139"/>
      <c r="D77" s="140"/>
      <c r="E77" s="141"/>
      <c r="F77" s="138"/>
      <c r="G77" s="138"/>
      <c r="H77" s="138"/>
    </row>
    <row r="78" spans="2:8" ht="6.65" customHeight="1" x14ac:dyDescent="0.4">
      <c r="B78" s="15"/>
      <c r="C78" s="52"/>
      <c r="D78" s="9"/>
      <c r="E78" s="51"/>
      <c r="F78" s="33"/>
      <c r="G78" s="6"/>
      <c r="H78" s="6"/>
    </row>
    <row r="79" spans="2:8" ht="14.5" customHeight="1" x14ac:dyDescent="0.4">
      <c r="B79" s="15" t="s">
        <v>32</v>
      </c>
      <c r="C79" s="10"/>
      <c r="D79" s="87">
        <f>(E48+E59+E64+E67)/D41</f>
        <v>11989.795918367347</v>
      </c>
      <c r="E79" s="115" t="s">
        <v>78</v>
      </c>
      <c r="F79" s="33"/>
      <c r="G79" s="6"/>
      <c r="H79" s="6"/>
    </row>
    <row r="80" spans="2:8" ht="14.5" customHeight="1" x14ac:dyDescent="0.4">
      <c r="B80" s="15" t="s">
        <v>75</v>
      </c>
      <c r="D80" s="87">
        <f>D79/D6</f>
        <v>239.79591836734693</v>
      </c>
      <c r="E80" s="115" t="s">
        <v>79</v>
      </c>
      <c r="F80" s="33"/>
      <c r="G80" s="6"/>
      <c r="H80" s="6"/>
    </row>
    <row r="81" spans="2:8" ht="14.5" customHeight="1" x14ac:dyDescent="0.4">
      <c r="B81" s="128" t="s">
        <v>77</v>
      </c>
      <c r="D81" s="113">
        <f>D5</f>
        <v>600</v>
      </c>
      <c r="E81" s="114">
        <f>1-((D81-D80)/D81)</f>
        <v>0.39965986394557818</v>
      </c>
      <c r="F81" s="33"/>
      <c r="G81" s="6"/>
      <c r="H81" s="6"/>
    </row>
    <row r="82" spans="2:8" ht="14.5" customHeight="1" x14ac:dyDescent="0.4">
      <c r="B82" s="59"/>
      <c r="D82" s="9"/>
      <c r="E82" s="29"/>
      <c r="F82" s="33"/>
      <c r="G82" s="6"/>
      <c r="H82" s="6"/>
    </row>
    <row r="83" spans="2:8" ht="21.5" x14ac:dyDescent="0.4">
      <c r="B83" s="134" t="s">
        <v>48</v>
      </c>
      <c r="C83" s="135"/>
      <c r="D83" s="142"/>
      <c r="E83" s="144"/>
      <c r="F83" s="145"/>
      <c r="G83" s="138"/>
      <c r="H83" s="138"/>
    </row>
    <row r="84" spans="2:8" ht="17.649999999999999" customHeight="1" x14ac:dyDescent="0.4">
      <c r="B84" s="50" t="s">
        <v>76</v>
      </c>
      <c r="D84" s="9"/>
      <c r="E84" s="24"/>
      <c r="F84" s="22"/>
      <c r="G84" s="6"/>
      <c r="H84" s="6"/>
    </row>
    <row r="85" spans="2:8" ht="17.649999999999999" customHeight="1" x14ac:dyDescent="0.4">
      <c r="B85" s="50" t="s">
        <v>122</v>
      </c>
      <c r="D85" s="9"/>
      <c r="E85" s="24"/>
      <c r="F85" s="22"/>
      <c r="G85" s="6"/>
      <c r="H85" s="6"/>
    </row>
    <row r="86" spans="2:8" ht="17.649999999999999" customHeight="1" x14ac:dyDescent="0.4">
      <c r="B86" s="50" t="s">
        <v>120</v>
      </c>
      <c r="D86" s="9"/>
      <c r="E86" s="24"/>
      <c r="F86" s="22"/>
      <c r="G86" s="6"/>
      <c r="H86" s="6"/>
    </row>
    <row r="87" spans="2:8" ht="17.649999999999999" customHeight="1" x14ac:dyDescent="0.4">
      <c r="B87" s="50" t="s">
        <v>121</v>
      </c>
      <c r="D87" s="9"/>
      <c r="E87" s="24"/>
      <c r="F87" s="22"/>
      <c r="G87" s="6"/>
      <c r="H87" s="6"/>
    </row>
    <row r="88" spans="2:8" x14ac:dyDescent="0.4">
      <c r="D88" s="9"/>
      <c r="E88" s="24"/>
      <c r="F88" s="22"/>
      <c r="G88" s="6"/>
      <c r="H88" s="6"/>
    </row>
    <row r="89" spans="2:8" ht="21.5" x14ac:dyDescent="0.4">
      <c r="B89" s="134" t="s">
        <v>90</v>
      </c>
      <c r="C89" s="135"/>
      <c r="D89" s="136"/>
      <c r="E89" s="136"/>
      <c r="F89" s="136"/>
      <c r="G89" s="136"/>
      <c r="H89" s="136"/>
    </row>
    <row r="90" spans="2:8" ht="6" customHeight="1" x14ac:dyDescent="0.4">
      <c r="D90" s="9"/>
      <c r="E90" s="24"/>
      <c r="F90" s="22"/>
      <c r="G90" s="6"/>
      <c r="H90" s="6"/>
    </row>
    <row r="91" spans="2:8" ht="16" x14ac:dyDescent="0.4">
      <c r="B91" s="97" t="s">
        <v>12</v>
      </c>
      <c r="C91" s="16"/>
      <c r="D91" s="72">
        <v>600</v>
      </c>
      <c r="E91" s="17"/>
      <c r="F91" s="20"/>
      <c r="G91" s="18"/>
      <c r="H91" s="34"/>
    </row>
    <row r="92" spans="2:8" ht="16" x14ac:dyDescent="0.4">
      <c r="B92" s="97" t="s">
        <v>41</v>
      </c>
      <c r="C92" s="16"/>
      <c r="D92" s="73">
        <v>0.25</v>
      </c>
      <c r="E92" s="17"/>
      <c r="F92" s="20"/>
      <c r="G92" s="21"/>
      <c r="H92" s="34"/>
    </row>
    <row r="93" spans="2:8" ht="16" x14ac:dyDescent="0.4">
      <c r="B93" s="23" t="s">
        <v>40</v>
      </c>
      <c r="C93" s="16"/>
      <c r="D93" s="62">
        <f>D91*D92</f>
        <v>150</v>
      </c>
      <c r="E93" s="17"/>
      <c r="F93" s="20"/>
      <c r="G93" s="18"/>
      <c r="H93" s="34"/>
    </row>
    <row r="94" spans="2:8" ht="16" x14ac:dyDescent="0.4">
      <c r="B94" s="23" t="s">
        <v>11</v>
      </c>
      <c r="C94" s="16"/>
      <c r="D94" s="62">
        <f>D91*(1-D92)</f>
        <v>450</v>
      </c>
      <c r="E94" s="17"/>
      <c r="F94" s="20"/>
      <c r="G94" s="18"/>
      <c r="H94" s="34"/>
    </row>
    <row r="95" spans="2:8" ht="16" x14ac:dyDescent="0.4">
      <c r="B95" s="23" t="s">
        <v>14</v>
      </c>
      <c r="C95" s="16"/>
      <c r="D95" s="64">
        <f>D52</f>
        <v>970000</v>
      </c>
      <c r="E95" s="65"/>
      <c r="F95" s="10"/>
      <c r="G95" s="64"/>
      <c r="H95" s="6"/>
    </row>
    <row r="96" spans="2:8" ht="16" x14ac:dyDescent="0.4">
      <c r="B96" s="23" t="s">
        <v>9</v>
      </c>
      <c r="C96" s="16"/>
      <c r="D96" s="116">
        <f>D52/D91</f>
        <v>1616.6666666666667</v>
      </c>
      <c r="E96" s="17"/>
      <c r="F96" s="6"/>
      <c r="G96" s="64"/>
      <c r="H96" s="6"/>
    </row>
    <row r="97" spans="2:8" ht="6.65" customHeight="1" x14ac:dyDescent="0.4">
      <c r="D97" s="9"/>
      <c r="E97" s="24"/>
      <c r="F97" s="22"/>
      <c r="G97" s="6"/>
      <c r="H97" s="6"/>
    </row>
    <row r="98" spans="2:8" ht="16" x14ac:dyDescent="0.4">
      <c r="B98" s="117" t="s">
        <v>27</v>
      </c>
      <c r="C98" s="118"/>
      <c r="D98" s="119"/>
      <c r="E98" s="120"/>
      <c r="F98" s="121"/>
      <c r="G98" s="122"/>
      <c r="H98" s="6"/>
    </row>
    <row r="99" spans="2:8" ht="16" x14ac:dyDescent="0.4">
      <c r="B99" s="117" t="s">
        <v>28</v>
      </c>
      <c r="C99" s="118"/>
      <c r="D99" s="119"/>
      <c r="E99" s="120"/>
      <c r="F99" s="121"/>
      <c r="G99" s="122"/>
      <c r="H99" s="6"/>
    </row>
    <row r="100" spans="2:8" ht="16" x14ac:dyDescent="0.4">
      <c r="B100" s="117" t="s">
        <v>105</v>
      </c>
      <c r="C100" s="118"/>
      <c r="D100" s="119"/>
      <c r="E100" s="120"/>
      <c r="F100" s="121"/>
      <c r="G100" s="122"/>
      <c r="H100" s="6"/>
    </row>
    <row r="101" spans="2:8" ht="13.9" customHeight="1" x14ac:dyDescent="0.4">
      <c r="B101" s="30"/>
      <c r="D101" s="9"/>
      <c r="E101" s="24"/>
      <c r="F101" s="22"/>
      <c r="G101" s="6"/>
      <c r="H101" s="6"/>
    </row>
    <row r="102" spans="2:8" ht="21.5" x14ac:dyDescent="0.4">
      <c r="B102" s="134" t="s">
        <v>91</v>
      </c>
      <c r="C102" s="135"/>
      <c r="D102" s="142"/>
      <c r="E102" s="144"/>
      <c r="F102" s="145"/>
      <c r="G102" s="138"/>
      <c r="H102" s="138"/>
    </row>
    <row r="103" spans="2:8" ht="6" customHeight="1" x14ac:dyDescent="0.4">
      <c r="D103" s="9"/>
      <c r="E103" s="24"/>
      <c r="F103" s="22"/>
      <c r="G103" s="6"/>
      <c r="H103" s="6"/>
    </row>
    <row r="104" spans="2:8" ht="16" x14ac:dyDescent="0.4">
      <c r="B104" s="23" t="s">
        <v>83</v>
      </c>
      <c r="C104" s="16"/>
      <c r="D104" s="62">
        <f>D4</f>
        <v>350</v>
      </c>
      <c r="E104" s="17"/>
      <c r="F104" s="20"/>
      <c r="G104" s="18"/>
      <c r="H104" s="6"/>
    </row>
    <row r="105" spans="2:8" ht="16" x14ac:dyDescent="0.4">
      <c r="B105" s="23" t="s">
        <v>11</v>
      </c>
      <c r="C105" s="16"/>
      <c r="D105" s="62">
        <f>D94</f>
        <v>450</v>
      </c>
      <c r="E105" s="17"/>
      <c r="F105" s="20"/>
      <c r="G105" s="18"/>
      <c r="H105" s="6"/>
    </row>
    <row r="106" spans="2:8" ht="16" x14ac:dyDescent="0.4">
      <c r="B106" s="97" t="s">
        <v>25</v>
      </c>
      <c r="C106" s="16"/>
      <c r="D106" s="72">
        <v>2</v>
      </c>
      <c r="E106" s="17"/>
      <c r="F106" s="6"/>
      <c r="G106" s="18"/>
      <c r="H106" s="6"/>
    </row>
    <row r="107" spans="2:8" ht="16" x14ac:dyDescent="0.4">
      <c r="B107" s="15" t="s">
        <v>10</v>
      </c>
      <c r="C107" s="16"/>
      <c r="D107" s="40">
        <f>D105/(D104*D106)</f>
        <v>0.6428571428571429</v>
      </c>
      <c r="E107" s="6"/>
      <c r="F107" s="6"/>
      <c r="G107" s="21"/>
      <c r="H107" s="6"/>
    </row>
    <row r="108" spans="2:8" ht="6.65" customHeight="1" x14ac:dyDescent="0.4">
      <c r="B108" s="23"/>
      <c r="C108" s="16"/>
      <c r="D108" s="40"/>
      <c r="E108" s="17"/>
      <c r="F108" s="6"/>
      <c r="G108" s="21"/>
      <c r="H108" s="6"/>
    </row>
    <row r="109" spans="2:8" ht="16" x14ac:dyDescent="0.4">
      <c r="B109" s="61" t="s">
        <v>80</v>
      </c>
      <c r="D109" s="9"/>
      <c r="E109" s="24"/>
      <c r="F109" s="22"/>
      <c r="G109" s="6"/>
      <c r="H109" s="6"/>
    </row>
    <row r="110" spans="2:8" ht="16" x14ac:dyDescent="0.4">
      <c r="B110" s="61" t="s">
        <v>81</v>
      </c>
      <c r="D110" s="9"/>
      <c r="E110" s="24"/>
      <c r="F110" s="22"/>
      <c r="G110" s="6"/>
      <c r="H110" s="6"/>
    </row>
    <row r="111" spans="2:8" ht="16" x14ac:dyDescent="0.4">
      <c r="B111" s="61" t="s">
        <v>60</v>
      </c>
      <c r="D111" s="9"/>
      <c r="E111" s="24"/>
      <c r="F111" s="22"/>
      <c r="G111" s="6"/>
      <c r="H111" s="6"/>
    </row>
    <row r="112" spans="2:8" x14ac:dyDescent="0.4">
      <c r="B112" s="11"/>
      <c r="D112" s="9"/>
      <c r="E112" s="24"/>
      <c r="F112" s="22"/>
      <c r="G112" s="6"/>
      <c r="H112" s="6"/>
    </row>
    <row r="113" spans="2:8" ht="21.5" x14ac:dyDescent="0.4">
      <c r="B113" s="134" t="s">
        <v>89</v>
      </c>
      <c r="C113" s="135"/>
      <c r="D113" s="142"/>
      <c r="E113" s="157"/>
      <c r="F113" s="138"/>
      <c r="G113" s="158" t="s">
        <v>104</v>
      </c>
      <c r="H113" s="159">
        <f>D106+1</f>
        <v>3</v>
      </c>
    </row>
    <row r="114" spans="2:8" ht="6" customHeight="1" x14ac:dyDescent="0.4">
      <c r="D114" s="9"/>
      <c r="E114" s="24"/>
      <c r="F114" s="22"/>
      <c r="G114" s="6"/>
      <c r="H114" s="6"/>
    </row>
    <row r="115" spans="2:8" ht="16" x14ac:dyDescent="0.4">
      <c r="B115" s="23" t="s">
        <v>6</v>
      </c>
      <c r="D115" s="32">
        <v>2</v>
      </c>
      <c r="E115" s="32">
        <v>3</v>
      </c>
      <c r="F115" s="32">
        <v>4</v>
      </c>
      <c r="G115" s="32">
        <v>5</v>
      </c>
      <c r="H115" s="32">
        <v>6</v>
      </c>
    </row>
    <row r="116" spans="2:8" ht="16" x14ac:dyDescent="0.4">
      <c r="B116" s="23" t="s">
        <v>47</v>
      </c>
      <c r="D116" s="102">
        <f>D104</f>
        <v>350</v>
      </c>
      <c r="E116" s="102">
        <f>D104</f>
        <v>350</v>
      </c>
      <c r="F116" s="102">
        <f>D104</f>
        <v>350</v>
      </c>
      <c r="G116" s="102">
        <f>D104</f>
        <v>350</v>
      </c>
      <c r="H116" s="102">
        <f>D104</f>
        <v>350</v>
      </c>
    </row>
    <row r="117" spans="2:8" ht="16" x14ac:dyDescent="0.4">
      <c r="B117" s="23" t="s">
        <v>87</v>
      </c>
      <c r="D117" s="105">
        <v>0.79</v>
      </c>
      <c r="E117" s="105">
        <v>0.68</v>
      </c>
      <c r="F117" s="105">
        <v>0.6</v>
      </c>
      <c r="G117" s="105">
        <v>0.55000000000000004</v>
      </c>
      <c r="H117" s="105">
        <v>0.5</v>
      </c>
    </row>
    <row r="118" spans="2:8" ht="16" x14ac:dyDescent="0.4">
      <c r="B118" s="23" t="s">
        <v>5</v>
      </c>
      <c r="D118" s="106">
        <f>D116*D115*D117</f>
        <v>553</v>
      </c>
      <c r="E118" s="106">
        <f>E116*E115*E117</f>
        <v>714</v>
      </c>
      <c r="F118" s="106">
        <f t="shared" ref="F118:H118" si="2">F116*F115*F117</f>
        <v>840</v>
      </c>
      <c r="G118" s="106">
        <f t="shared" si="2"/>
        <v>962.50000000000011</v>
      </c>
      <c r="H118" s="106">
        <f t="shared" si="2"/>
        <v>1050</v>
      </c>
    </row>
    <row r="119" spans="2:8" ht="16" x14ac:dyDescent="0.4">
      <c r="B119" s="23" t="s">
        <v>42</v>
      </c>
      <c r="C119" s="7">
        <f>D92</f>
        <v>0.25</v>
      </c>
      <c r="D119" s="103">
        <f>D118*$C119</f>
        <v>138.25</v>
      </c>
      <c r="E119" s="104">
        <f>E118*$C119</f>
        <v>178.5</v>
      </c>
      <c r="F119" s="103">
        <f>F118*$C119</f>
        <v>210</v>
      </c>
      <c r="G119" s="103">
        <f>G118*$C119</f>
        <v>240.62500000000003</v>
      </c>
      <c r="H119" s="103">
        <f>H118*$C119</f>
        <v>262.5</v>
      </c>
    </row>
    <row r="120" spans="2:8" ht="16" x14ac:dyDescent="0.4">
      <c r="B120" s="23" t="s">
        <v>49</v>
      </c>
      <c r="D120" s="38">
        <f>D118+D119</f>
        <v>691.25</v>
      </c>
      <c r="E120" s="38">
        <f t="shared" ref="E120:H120" si="3">E118+E119</f>
        <v>892.5</v>
      </c>
      <c r="F120" s="38">
        <f t="shared" si="3"/>
        <v>1050</v>
      </c>
      <c r="G120" s="38">
        <f t="shared" si="3"/>
        <v>1203.1250000000002</v>
      </c>
      <c r="H120" s="38">
        <f t="shared" si="3"/>
        <v>1312.5</v>
      </c>
    </row>
    <row r="121" spans="2:8" x14ac:dyDescent="0.4">
      <c r="D121" s="126" t="s">
        <v>85</v>
      </c>
      <c r="E121" s="24"/>
      <c r="F121" s="22"/>
      <c r="G121" s="6"/>
      <c r="H121" s="6"/>
    </row>
    <row r="122" spans="2:8" ht="14.5" customHeight="1" x14ac:dyDescent="0.4">
      <c r="D122" s="126"/>
      <c r="E122" s="24"/>
      <c r="F122" s="22"/>
      <c r="G122" s="6"/>
      <c r="H122" s="6"/>
    </row>
    <row r="123" spans="2:8" ht="18" customHeight="1" x14ac:dyDescent="0.4">
      <c r="B123" s="134" t="s">
        <v>61</v>
      </c>
      <c r="C123" s="136"/>
      <c r="D123" s="136"/>
      <c r="E123" s="136"/>
      <c r="F123" s="136"/>
      <c r="G123" s="136"/>
      <c r="H123" s="136"/>
    </row>
    <row r="124" spans="2:8" ht="6" customHeight="1" x14ac:dyDescent="0.4">
      <c r="D124" s="9"/>
      <c r="E124" s="24"/>
      <c r="F124" s="22"/>
      <c r="G124" s="6"/>
      <c r="H124" s="6"/>
    </row>
    <row r="125" spans="2:8" ht="16" x14ac:dyDescent="0.4">
      <c r="B125" s="15" t="s">
        <v>82</v>
      </c>
      <c r="C125" s="2"/>
      <c r="D125" s="123">
        <f>H113</f>
        <v>3</v>
      </c>
      <c r="E125" s="33"/>
      <c r="F125" s="66"/>
      <c r="G125" s="31"/>
    </row>
    <row r="126" spans="2:8" ht="16" x14ac:dyDescent="0.4">
      <c r="B126" s="97" t="s">
        <v>29</v>
      </c>
      <c r="C126" s="2"/>
      <c r="D126" s="75">
        <v>893</v>
      </c>
      <c r="E126" s="173" t="s">
        <v>94</v>
      </c>
      <c r="F126" s="131"/>
    </row>
    <row r="127" spans="2:8" ht="6.65" customHeight="1" x14ac:dyDescent="0.4">
      <c r="B127" s="15"/>
      <c r="C127" s="2"/>
      <c r="D127" s="62"/>
      <c r="E127" s="33"/>
      <c r="F127" s="67"/>
      <c r="G127" s="31"/>
    </row>
    <row r="128" spans="2:8" ht="16" x14ac:dyDescent="0.4">
      <c r="B128" s="23" t="s">
        <v>30</v>
      </c>
      <c r="C128" s="2"/>
      <c r="D128" s="76">
        <f>D126*D96*0.9</f>
        <v>1299315.0000000002</v>
      </c>
      <c r="E128" s="77">
        <f>D128/D126</f>
        <v>1455.0000000000002</v>
      </c>
      <c r="F128" s="124" t="s">
        <v>54</v>
      </c>
    </row>
    <row r="129" spans="2:8" ht="6.65" customHeight="1" x14ac:dyDescent="0.4">
      <c r="B129" s="23"/>
      <c r="C129" s="2"/>
      <c r="D129" s="37"/>
      <c r="E129" s="68"/>
    </row>
    <row r="130" spans="2:8" ht="16" x14ac:dyDescent="0.4">
      <c r="B130" s="15" t="s">
        <v>50</v>
      </c>
      <c r="C130" s="52"/>
      <c r="D130" s="36"/>
      <c r="E130" s="63">
        <f>(D128*C64)+((E131/C58)*C67)</f>
        <v>5480787.5</v>
      </c>
    </row>
    <row r="131" spans="2:8" ht="16" x14ac:dyDescent="0.4">
      <c r="B131" s="15" t="s">
        <v>51</v>
      </c>
      <c r="C131" s="7"/>
      <c r="D131" s="37"/>
      <c r="E131" s="63">
        <f>D128*C57</f>
        <v>2679000</v>
      </c>
    </row>
    <row r="132" spans="2:8" ht="16" x14ac:dyDescent="0.4">
      <c r="B132" s="15"/>
      <c r="C132" s="7"/>
      <c r="D132" s="37"/>
      <c r="E132" s="63"/>
    </row>
    <row r="133" spans="2:8" ht="21.5" x14ac:dyDescent="0.4">
      <c r="B133" s="134" t="s">
        <v>26</v>
      </c>
      <c r="C133" s="135"/>
      <c r="D133" s="136"/>
      <c r="E133" s="147">
        <f>E42+E130+E131</f>
        <v>-6540212.5</v>
      </c>
      <c r="F133" s="136"/>
      <c r="G133" s="136"/>
      <c r="H133" s="136"/>
    </row>
    <row r="134" spans="2:8" x14ac:dyDescent="0.4">
      <c r="C134" s="2"/>
    </row>
    <row r="135" spans="2:8" ht="21.5" x14ac:dyDescent="0.4">
      <c r="B135" s="134" t="s">
        <v>110</v>
      </c>
      <c r="C135" s="139"/>
      <c r="D135" s="140"/>
      <c r="E135" s="141"/>
      <c r="F135" s="138"/>
      <c r="G135" s="146"/>
      <c r="H135" s="138"/>
    </row>
    <row r="136" spans="2:8" ht="6" customHeight="1" x14ac:dyDescent="0.4">
      <c r="D136" s="9"/>
      <c r="E136" s="24"/>
      <c r="F136" s="22"/>
      <c r="G136" s="6"/>
      <c r="H136" s="6"/>
    </row>
    <row r="137" spans="2:8" ht="16" x14ac:dyDescent="0.4">
      <c r="B137" s="23" t="s">
        <v>58</v>
      </c>
      <c r="D137" s="83">
        <f>D46</f>
        <v>400000</v>
      </c>
      <c r="E137" s="78"/>
      <c r="G137" s="21"/>
      <c r="H137" s="6"/>
    </row>
    <row r="138" spans="2:8" ht="16" x14ac:dyDescent="0.4">
      <c r="B138" s="23" t="s">
        <v>59</v>
      </c>
      <c r="D138" s="83">
        <f>D47</f>
        <v>0</v>
      </c>
      <c r="G138" s="21"/>
      <c r="H138" s="6"/>
    </row>
    <row r="139" spans="2:8" ht="16" x14ac:dyDescent="0.4">
      <c r="B139" s="23" t="s">
        <v>109</v>
      </c>
      <c r="D139" s="41">
        <f>E131*C59</f>
        <v>1741350</v>
      </c>
      <c r="G139" s="21"/>
      <c r="H139" s="6"/>
    </row>
    <row r="140" spans="2:8" ht="16" x14ac:dyDescent="0.4">
      <c r="B140" s="23" t="s">
        <v>67</v>
      </c>
      <c r="D140" s="36">
        <f>SUM(D137:D139)</f>
        <v>2141350</v>
      </c>
      <c r="E140" s="63">
        <f>D140</f>
        <v>2141350</v>
      </c>
      <c r="G140" s="21"/>
      <c r="H140" s="6"/>
    </row>
    <row r="141" spans="2:8" ht="6.65" customHeight="1" x14ac:dyDescent="0.4">
      <c r="B141" s="23"/>
      <c r="D141" s="36"/>
      <c r="E141" s="63"/>
      <c r="G141" s="21"/>
      <c r="H141" s="6"/>
    </row>
    <row r="142" spans="2:8" ht="16" x14ac:dyDescent="0.4">
      <c r="B142" s="23" t="s">
        <v>31</v>
      </c>
      <c r="D142" s="41">
        <f>E130</f>
        <v>5480787.5</v>
      </c>
      <c r="E142" s="82">
        <f>D142</f>
        <v>5480787.5</v>
      </c>
      <c r="G142" s="21"/>
      <c r="H142" s="6"/>
    </row>
    <row r="143" spans="2:8" ht="6.65" customHeight="1" x14ac:dyDescent="0.4">
      <c r="B143" s="23"/>
      <c r="D143" s="36"/>
      <c r="E143" s="84"/>
      <c r="G143" s="21"/>
      <c r="H143" s="6"/>
    </row>
    <row r="144" spans="2:8" ht="16.5" thickBot="1" x14ac:dyDescent="0.45">
      <c r="B144" s="81" t="s">
        <v>57</v>
      </c>
      <c r="C144" s="2"/>
      <c r="E144" s="85">
        <f>SUM(E140:E142)</f>
        <v>7622137.5</v>
      </c>
      <c r="G144" s="21"/>
      <c r="H144" s="6"/>
    </row>
    <row r="145" spans="2:8" ht="15.5" thickTop="1" x14ac:dyDescent="0.4">
      <c r="D145" s="19"/>
      <c r="G145" s="6"/>
      <c r="H145" s="6"/>
    </row>
    <row r="146" spans="2:8" ht="16" x14ac:dyDescent="0.4">
      <c r="B146" s="15" t="s">
        <v>32</v>
      </c>
      <c r="C146" s="10"/>
      <c r="D146" s="87">
        <f>E144/D41</f>
        <v>15555.382653061224</v>
      </c>
      <c r="E146" s="9"/>
      <c r="F146" s="9"/>
      <c r="G146" s="8"/>
      <c r="H146" s="8"/>
    </row>
    <row r="147" spans="2:8" ht="16" x14ac:dyDescent="0.4">
      <c r="B147" s="23" t="s">
        <v>34</v>
      </c>
      <c r="C147" s="62">
        <f>D6</f>
        <v>50</v>
      </c>
      <c r="D147" s="87">
        <f>D146/C147</f>
        <v>311.10765306122448</v>
      </c>
      <c r="G147" s="8"/>
      <c r="H147" s="8"/>
    </row>
    <row r="148" spans="2:8" ht="16" x14ac:dyDescent="0.4">
      <c r="B148" s="23" t="s">
        <v>77</v>
      </c>
      <c r="C148" s="62"/>
      <c r="D148" s="113">
        <f>D5</f>
        <v>600</v>
      </c>
      <c r="G148" s="8"/>
      <c r="H148" s="8"/>
    </row>
    <row r="149" spans="2:8" x14ac:dyDescent="0.4">
      <c r="G149" s="9"/>
      <c r="H149" s="9"/>
    </row>
    <row r="150" spans="2:8" ht="21.5" x14ac:dyDescent="0.4">
      <c r="B150" s="134" t="s">
        <v>98</v>
      </c>
      <c r="C150" s="135"/>
      <c r="D150" s="136"/>
      <c r="E150" s="136"/>
      <c r="F150" s="136"/>
      <c r="G150" s="142"/>
      <c r="H150" s="142"/>
    </row>
    <row r="151" spans="2:8" ht="6" customHeight="1" x14ac:dyDescent="0.4">
      <c r="D151" s="9"/>
      <c r="E151" s="24"/>
      <c r="F151" s="22"/>
      <c r="G151" s="6"/>
      <c r="H151" s="6"/>
    </row>
    <row r="152" spans="2:8" ht="16" x14ac:dyDescent="0.4">
      <c r="B152" s="15" t="s">
        <v>7</v>
      </c>
      <c r="D152" s="13">
        <f>PMT(4.5%/12,25*12,D142)*12</f>
        <v>-365567.96367697138</v>
      </c>
      <c r="E152" s="33" t="s">
        <v>8</v>
      </c>
      <c r="F152" s="13"/>
      <c r="G152" s="13"/>
      <c r="H152" s="9"/>
    </row>
    <row r="153" spans="2:8" ht="16" x14ac:dyDescent="0.4">
      <c r="B153" s="97" t="s">
        <v>96</v>
      </c>
      <c r="C153" s="101">
        <v>6</v>
      </c>
      <c r="D153" s="43">
        <f>-D146*C153</f>
        <v>-93332.295918367337</v>
      </c>
      <c r="E153" s="156" t="s">
        <v>97</v>
      </c>
      <c r="G153" s="9"/>
      <c r="H153" s="9"/>
    </row>
    <row r="154" spans="2:8" ht="16" x14ac:dyDescent="0.4">
      <c r="B154" s="42" t="s">
        <v>24</v>
      </c>
      <c r="D154" s="13">
        <f>D152+D153</f>
        <v>-458900.25959533872</v>
      </c>
      <c r="G154" s="9"/>
      <c r="H154" s="9"/>
    </row>
    <row r="155" spans="2:8" x14ac:dyDescent="0.4">
      <c r="G155" s="9"/>
      <c r="H155" s="9"/>
    </row>
    <row r="156" spans="2:8" ht="16" x14ac:dyDescent="0.4">
      <c r="B156" s="15" t="s">
        <v>95</v>
      </c>
      <c r="D156" s="88">
        <f>-D154/D128</f>
        <v>0.35318630170154169</v>
      </c>
      <c r="E156" s="124" t="s">
        <v>33</v>
      </c>
      <c r="G156" s="9"/>
      <c r="H156" s="9"/>
    </row>
    <row r="157" spans="2:8" x14ac:dyDescent="0.4">
      <c r="B157" s="11" t="s">
        <v>84</v>
      </c>
      <c r="G157" s="9"/>
      <c r="H157" s="9"/>
    </row>
    <row r="158" spans="2:8" x14ac:dyDescent="0.4">
      <c r="C158" s="2"/>
    </row>
    <row r="159" spans="2:8" x14ac:dyDescent="0.4">
      <c r="C159" s="2"/>
    </row>
    <row r="160" spans="2:8" x14ac:dyDescent="0.4">
      <c r="C160" s="2"/>
    </row>
    <row r="161" spans="3:9" x14ac:dyDescent="0.4">
      <c r="C161" s="2"/>
    </row>
    <row r="162" spans="3:9" x14ac:dyDescent="0.4">
      <c r="C162" s="2"/>
    </row>
    <row r="163" spans="3:9" x14ac:dyDescent="0.4">
      <c r="C163" s="2"/>
    </row>
    <row r="164" spans="3:9" x14ac:dyDescent="0.4">
      <c r="C164" s="46"/>
      <c r="D164" s="47"/>
      <c r="E164" s="47"/>
      <c r="F164" s="47"/>
      <c r="G164" s="47"/>
      <c r="H164" s="45"/>
    </row>
    <row r="165" spans="3:9" x14ac:dyDescent="0.4">
      <c r="C165" s="46"/>
      <c r="D165" s="46"/>
      <c r="E165" s="46"/>
      <c r="F165" s="46"/>
      <c r="G165" s="46"/>
      <c r="H165" s="45"/>
    </row>
    <row r="166" spans="3:9" x14ac:dyDescent="0.4">
      <c r="C166" s="48"/>
      <c r="D166" s="48"/>
      <c r="E166" s="48"/>
      <c r="F166" s="48"/>
      <c r="G166" s="48"/>
      <c r="H166" s="45"/>
    </row>
    <row r="167" spans="3:9" x14ac:dyDescent="0.4">
      <c r="C167" s="48"/>
      <c r="D167" s="45"/>
      <c r="E167" s="45"/>
      <c r="F167" s="45"/>
      <c r="G167" s="45"/>
      <c r="H167" s="45"/>
    </row>
    <row r="168" spans="3:9" x14ac:dyDescent="0.4">
      <c r="C168" s="44"/>
      <c r="D168" s="45"/>
      <c r="E168" s="45"/>
      <c r="F168" s="45"/>
      <c r="G168" s="45"/>
      <c r="H168" s="45"/>
      <c r="I168" s="12"/>
    </row>
    <row r="169" spans="3:9" x14ac:dyDescent="0.4">
      <c r="C169" s="49"/>
      <c r="D169" s="45"/>
      <c r="E169" s="45"/>
      <c r="F169" s="45"/>
      <c r="G169" s="45"/>
      <c r="H169" s="45"/>
    </row>
    <row r="170" spans="3:9" x14ac:dyDescent="0.4">
      <c r="C170" s="45"/>
      <c r="D170" s="49"/>
      <c r="E170" s="45"/>
      <c r="F170" s="45"/>
      <c r="G170" s="45"/>
      <c r="H170" s="45"/>
    </row>
    <row r="171" spans="3:9" x14ac:dyDescent="0.4">
      <c r="C171" s="45"/>
      <c r="D171" s="49"/>
      <c r="E171" s="45"/>
      <c r="F171" s="45"/>
      <c r="G171" s="45"/>
      <c r="H171" s="45"/>
    </row>
  </sheetData>
  <mergeCells count="3">
    <mergeCell ref="B19:H19"/>
    <mergeCell ref="B28:H28"/>
    <mergeCell ref="B14:H14"/>
  </mergeCells>
  <pageMargins left="0.34" right="0.26" top="0.31" bottom="0.68" header="0.25" footer="0.34"/>
  <pageSetup scale="82" fitToHeight="0" orientation="portrait" horizontalDpi="1200" verticalDpi="1200" r:id="rId1"/>
  <headerFooter>
    <oddFooter>&amp;L&amp;"Proxima Nova,Regular"Page &amp;P of &amp;N&amp;C&amp;"Proxima Nova,Italic"Prepared By:&amp;"-,Regular" &amp;R&amp;"Proxima Nova,Regular"Insert Date Here</oddFooter>
  </headerFooter>
  <rowBreaks count="2" manualBreakCount="2">
    <brk id="52" min="1" max="7" man="1"/>
    <brk id="104" min="1" max="7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3"/>
  <sheetViews>
    <sheetView workbookViewId="0">
      <selection activeCell="B19" sqref="B19"/>
    </sheetView>
  </sheetViews>
  <sheetFormatPr defaultColWidth="8.81640625" defaultRowHeight="15" x14ac:dyDescent="0.4"/>
  <cols>
    <col min="1" max="1" width="2.26953125" style="2" customWidth="1"/>
    <col min="2" max="2" width="44.453125" style="2" customWidth="1"/>
    <col min="3" max="3" width="2.54296875" style="2" customWidth="1"/>
    <col min="4" max="4" width="12.7265625" style="2" customWidth="1"/>
    <col min="5" max="13" width="10.7265625" style="2" customWidth="1"/>
    <col min="14" max="16384" width="8.81640625" style="2"/>
  </cols>
  <sheetData>
    <row r="1" spans="2:8" ht="90" customHeight="1" x14ac:dyDescent="0.4"/>
    <row r="2" spans="2:8" ht="14.5" customHeight="1" x14ac:dyDescent="0.55000000000000004">
      <c r="B2" s="55"/>
    </row>
    <row r="3" spans="2:8" ht="14.5" customHeight="1" x14ac:dyDescent="0.55000000000000004">
      <c r="B3" s="55"/>
    </row>
    <row r="4" spans="2:8" ht="16" x14ac:dyDescent="0.4">
      <c r="B4" s="148" t="str">
        <f>'Financial Scenario'!B4</f>
        <v>Insert # Seats in Current Auditorium</v>
      </c>
      <c r="D4" s="150"/>
      <c r="E4" s="56"/>
      <c r="F4" s="56"/>
      <c r="G4" s="56"/>
      <c r="H4" s="56"/>
    </row>
    <row r="5" spans="2:8" ht="16" x14ac:dyDescent="0.4">
      <c r="B5" s="148" t="str">
        <f>'Financial Scenario'!B5</f>
        <v>Insert # Seats Desired</v>
      </c>
      <c r="D5" s="150"/>
    </row>
    <row r="6" spans="2:8" ht="16" x14ac:dyDescent="0.4">
      <c r="B6" s="148"/>
    </row>
    <row r="7" spans="2:8" ht="16" x14ac:dyDescent="0.4">
      <c r="B7" s="148" t="s">
        <v>92</v>
      </c>
      <c r="D7" s="150"/>
    </row>
    <row r="8" spans="2:8" ht="16" x14ac:dyDescent="0.4">
      <c r="B8" s="148"/>
      <c r="C8" s="3"/>
    </row>
    <row r="9" spans="2:8" ht="16" x14ac:dyDescent="0.4">
      <c r="B9" s="148" t="str">
        <f>'Financial Scenario'!B46</f>
        <v>Insert Cash Savings</v>
      </c>
      <c r="D9" s="150"/>
    </row>
    <row r="10" spans="2:8" ht="16" x14ac:dyDescent="0.4">
      <c r="B10" s="148" t="str">
        <f>'Financial Scenario'!B47</f>
        <v>Insert Equity in Real Estate</v>
      </c>
      <c r="C10" s="3"/>
      <c r="D10" s="150"/>
    </row>
    <row r="11" spans="2:8" ht="16" x14ac:dyDescent="0.4">
      <c r="B11" s="148"/>
      <c r="C11" s="3"/>
    </row>
    <row r="12" spans="2:8" ht="16" x14ac:dyDescent="0.4">
      <c r="B12" s="149" t="str">
        <f>'Financial Scenario'!B52</f>
        <v>Insert Last Year's Income</v>
      </c>
      <c r="D12" s="150"/>
    </row>
    <row r="13" spans="2:8" ht="16" x14ac:dyDescent="0.4">
      <c r="B13" s="149"/>
    </row>
    <row r="14" spans="2:8" ht="16" x14ac:dyDescent="0.4">
      <c r="B14" s="148" t="str">
        <f>'Financial Scenario'!B91</f>
        <v>Insert Total Weekly Attendance</v>
      </c>
      <c r="D14" s="150"/>
    </row>
    <row r="15" spans="2:8" ht="16" x14ac:dyDescent="0.4">
      <c r="B15" s="148" t="str">
        <f>'Financial Scenario'!B92</f>
        <v>Insert your % of Children</v>
      </c>
      <c r="D15" s="150"/>
    </row>
    <row r="16" spans="2:8" ht="16" x14ac:dyDescent="0.4">
      <c r="B16" s="148"/>
    </row>
    <row r="17" spans="2:4" ht="16" x14ac:dyDescent="0.4">
      <c r="B17" s="148" t="str">
        <f>'Financial Scenario'!B106</f>
        <v xml:space="preserve">Insert # Services Performed </v>
      </c>
      <c r="D17" s="150"/>
    </row>
    <row r="18" spans="2:4" ht="16" x14ac:dyDescent="0.4">
      <c r="B18" s="148"/>
    </row>
    <row r="19" spans="2:4" ht="16" x14ac:dyDescent="0.4">
      <c r="B19" s="148" t="str">
        <f>'Financial Scenario'!B153</f>
        <v>Insert Property Costs (/SF)</v>
      </c>
      <c r="D19" s="150"/>
    </row>
    <row r="20" spans="2:4" ht="16" x14ac:dyDescent="0.4">
      <c r="B20" s="148"/>
    </row>
    <row r="21" spans="2:4" ht="16" x14ac:dyDescent="0.4">
      <c r="B21" s="148"/>
    </row>
    <row r="22" spans="2:4" ht="16" x14ac:dyDescent="0.4">
      <c r="B22" s="148"/>
    </row>
    <row r="23" spans="2:4" ht="16" x14ac:dyDescent="0.4">
      <c r="B23" s="148"/>
    </row>
  </sheetData>
  <pageMargins left="0.7" right="0.7" top="0.75" bottom="0.97" header="0.3" footer="0.41"/>
  <pageSetup scale="82" orientation="landscape" horizontalDpi="1200" verticalDpi="1200" r:id="rId1"/>
  <headerFooter>
    <oddFooter>&amp;L&amp;G&amp;C&amp;"-,Bold"&amp;12Prepared By&amp;"-,Regular"&amp;11:&amp;12 Scott McLean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M24"/>
  <sheetViews>
    <sheetView workbookViewId="0">
      <selection activeCell="E21" sqref="E21"/>
    </sheetView>
  </sheetViews>
  <sheetFormatPr defaultColWidth="8.81640625" defaultRowHeight="15" x14ac:dyDescent="0.4"/>
  <cols>
    <col min="1" max="1" width="2.26953125" style="2" customWidth="1"/>
    <col min="2" max="2" width="33.453125" style="2" customWidth="1"/>
    <col min="3" max="3" width="6.81640625" style="2" customWidth="1"/>
    <col min="4" max="13" width="10.7265625" style="2" customWidth="1"/>
    <col min="14" max="16384" width="8.81640625" style="2"/>
  </cols>
  <sheetData>
    <row r="1" spans="2:13" ht="90" customHeight="1" x14ac:dyDescent="0.4"/>
    <row r="2" spans="2:13" ht="14.5" customHeight="1" x14ac:dyDescent="0.55000000000000004">
      <c r="B2" s="55"/>
    </row>
    <row r="3" spans="2:13" ht="16" x14ac:dyDescent="0.4">
      <c r="B3" s="153" t="s">
        <v>0</v>
      </c>
      <c r="C3" s="154"/>
      <c r="D3" s="32">
        <v>300</v>
      </c>
      <c r="E3" s="32">
        <v>400</v>
      </c>
      <c r="F3" s="32">
        <v>500</v>
      </c>
      <c r="G3" s="32">
        <v>600</v>
      </c>
      <c r="H3" s="32">
        <v>700</v>
      </c>
      <c r="I3" s="32">
        <v>800</v>
      </c>
      <c r="J3" s="32">
        <v>900</v>
      </c>
      <c r="K3" s="32">
        <v>1000</v>
      </c>
      <c r="L3" s="32">
        <v>1100</v>
      </c>
      <c r="M3" s="32">
        <v>1200</v>
      </c>
    </row>
    <row r="4" spans="2:13" ht="6" customHeight="1" x14ac:dyDescent="0.4">
      <c r="B4" s="23"/>
      <c r="C4" s="23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ht="16" x14ac:dyDescent="0.4">
      <c r="B5" s="133" t="s">
        <v>88</v>
      </c>
      <c r="C5" s="57">
        <v>50</v>
      </c>
      <c r="D5" s="132">
        <f>D3*$C$5</f>
        <v>15000</v>
      </c>
      <c r="E5" s="132">
        <f t="shared" ref="E5:M5" si="0">E3*$C$5</f>
        <v>20000</v>
      </c>
      <c r="F5" s="132">
        <f t="shared" si="0"/>
        <v>25000</v>
      </c>
      <c r="G5" s="132">
        <f t="shared" si="0"/>
        <v>30000</v>
      </c>
      <c r="H5" s="132">
        <f t="shared" si="0"/>
        <v>35000</v>
      </c>
      <c r="I5" s="132">
        <f t="shared" si="0"/>
        <v>40000</v>
      </c>
      <c r="J5" s="132">
        <f t="shared" si="0"/>
        <v>45000</v>
      </c>
      <c r="K5" s="132">
        <f t="shared" si="0"/>
        <v>50000</v>
      </c>
      <c r="L5" s="132">
        <f t="shared" si="0"/>
        <v>55000</v>
      </c>
      <c r="M5" s="132">
        <f t="shared" si="0"/>
        <v>60000</v>
      </c>
    </row>
    <row r="6" spans="2:13" ht="6.65" customHeight="1" x14ac:dyDescent="0.4">
      <c r="B6" s="133"/>
      <c r="C6" s="11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2:13" ht="16" x14ac:dyDescent="0.4">
      <c r="B7" s="23" t="s">
        <v>38</v>
      </c>
      <c r="C7" s="57">
        <v>15</v>
      </c>
      <c r="D7" s="26">
        <f>D3*$C7</f>
        <v>4500</v>
      </c>
      <c r="E7" s="26">
        <f t="shared" ref="E7:M7" si="1">E3*$C7</f>
        <v>6000</v>
      </c>
      <c r="F7" s="26">
        <f t="shared" si="1"/>
        <v>7500</v>
      </c>
      <c r="G7" s="26">
        <f t="shared" si="1"/>
        <v>9000</v>
      </c>
      <c r="H7" s="26">
        <f t="shared" si="1"/>
        <v>10500</v>
      </c>
      <c r="I7" s="26">
        <f t="shared" si="1"/>
        <v>12000</v>
      </c>
      <c r="J7" s="26">
        <f t="shared" si="1"/>
        <v>13500</v>
      </c>
      <c r="K7" s="26">
        <f t="shared" si="1"/>
        <v>15000</v>
      </c>
      <c r="L7" s="26">
        <f t="shared" si="1"/>
        <v>16500</v>
      </c>
      <c r="M7" s="26">
        <f t="shared" si="1"/>
        <v>18000</v>
      </c>
    </row>
    <row r="8" spans="2:13" ht="16" x14ac:dyDescent="0.4">
      <c r="B8" s="23" t="s">
        <v>39</v>
      </c>
      <c r="C8" s="58">
        <v>0.5</v>
      </c>
      <c r="D8" s="26">
        <f>D7/2</f>
        <v>2250</v>
      </c>
      <c r="E8" s="26">
        <f t="shared" ref="E8:M8" si="2">E7/2</f>
        <v>3000</v>
      </c>
      <c r="F8" s="26">
        <f t="shared" si="2"/>
        <v>3750</v>
      </c>
      <c r="G8" s="26">
        <f t="shared" si="2"/>
        <v>4500</v>
      </c>
      <c r="H8" s="26">
        <f t="shared" si="2"/>
        <v>5250</v>
      </c>
      <c r="I8" s="26">
        <f t="shared" si="2"/>
        <v>6000</v>
      </c>
      <c r="J8" s="26">
        <f t="shared" si="2"/>
        <v>6750</v>
      </c>
      <c r="K8" s="26">
        <f t="shared" si="2"/>
        <v>7500</v>
      </c>
      <c r="L8" s="26">
        <f t="shared" si="2"/>
        <v>8250</v>
      </c>
      <c r="M8" s="26">
        <f t="shared" si="2"/>
        <v>9000</v>
      </c>
    </row>
    <row r="9" spans="2:13" ht="16" x14ac:dyDescent="0.4">
      <c r="B9" s="23" t="s">
        <v>43</v>
      </c>
      <c r="C9" s="54"/>
      <c r="D9" s="26">
        <f>D3*0.3*40</f>
        <v>3600</v>
      </c>
      <c r="E9" s="26">
        <f>E3*0.3*40</f>
        <v>4800</v>
      </c>
      <c r="F9" s="26">
        <f t="shared" ref="F9:M9" si="3">F3*0.3*40</f>
        <v>6000</v>
      </c>
      <c r="G9" s="26">
        <f t="shared" si="3"/>
        <v>7200</v>
      </c>
      <c r="H9" s="26">
        <f t="shared" si="3"/>
        <v>8400</v>
      </c>
      <c r="I9" s="26">
        <f t="shared" si="3"/>
        <v>9600</v>
      </c>
      <c r="J9" s="26">
        <f t="shared" si="3"/>
        <v>10800</v>
      </c>
      <c r="K9" s="26">
        <f t="shared" si="3"/>
        <v>12000</v>
      </c>
      <c r="L9" s="26">
        <f t="shared" si="3"/>
        <v>13200</v>
      </c>
      <c r="M9" s="26">
        <f t="shared" si="3"/>
        <v>14400</v>
      </c>
    </row>
    <row r="10" spans="2:13" ht="16" x14ac:dyDescent="0.4">
      <c r="B10" s="23" t="s">
        <v>44</v>
      </c>
      <c r="C10" s="11"/>
      <c r="D10" s="26">
        <f>(D3/75)*300</f>
        <v>1200</v>
      </c>
      <c r="E10" s="26">
        <f t="shared" ref="E10:M10" si="4">(E3/75)*300</f>
        <v>1600</v>
      </c>
      <c r="F10" s="26">
        <f t="shared" si="4"/>
        <v>2000</v>
      </c>
      <c r="G10" s="26">
        <f t="shared" si="4"/>
        <v>2400</v>
      </c>
      <c r="H10" s="26">
        <f t="shared" si="4"/>
        <v>2800</v>
      </c>
      <c r="I10" s="26">
        <f t="shared" si="4"/>
        <v>3200</v>
      </c>
      <c r="J10" s="26">
        <f t="shared" si="4"/>
        <v>3600</v>
      </c>
      <c r="K10" s="26">
        <f t="shared" si="4"/>
        <v>4000</v>
      </c>
      <c r="L10" s="26">
        <f t="shared" si="4"/>
        <v>4400</v>
      </c>
      <c r="M10" s="26">
        <f t="shared" si="4"/>
        <v>4800</v>
      </c>
    </row>
    <row r="11" spans="2:13" ht="16" x14ac:dyDescent="0.4">
      <c r="B11" s="23" t="s">
        <v>45</v>
      </c>
      <c r="C11" s="11"/>
      <c r="D11" s="26">
        <f>0.25*D9</f>
        <v>900</v>
      </c>
      <c r="E11" s="26">
        <f t="shared" ref="E11:M11" si="5">0.25*E9</f>
        <v>1200</v>
      </c>
      <c r="F11" s="26">
        <f t="shared" si="5"/>
        <v>1500</v>
      </c>
      <c r="G11" s="26">
        <f t="shared" si="5"/>
        <v>1800</v>
      </c>
      <c r="H11" s="26">
        <f t="shared" si="5"/>
        <v>2100</v>
      </c>
      <c r="I11" s="26">
        <f t="shared" si="5"/>
        <v>2400</v>
      </c>
      <c r="J11" s="26">
        <f t="shared" si="5"/>
        <v>2700</v>
      </c>
      <c r="K11" s="26">
        <f t="shared" si="5"/>
        <v>3000</v>
      </c>
      <c r="L11" s="26">
        <f t="shared" si="5"/>
        <v>3300</v>
      </c>
      <c r="M11" s="26">
        <f t="shared" si="5"/>
        <v>3600</v>
      </c>
    </row>
    <row r="12" spans="2:13" ht="16" x14ac:dyDescent="0.4">
      <c r="B12" s="23" t="s">
        <v>46</v>
      </c>
      <c r="C12" s="11"/>
      <c r="D12" s="26">
        <f>D5*0.08</f>
        <v>1200</v>
      </c>
      <c r="E12" s="26">
        <f t="shared" ref="E12:M12" si="6">E5*0.08</f>
        <v>1600</v>
      </c>
      <c r="F12" s="26">
        <f t="shared" si="6"/>
        <v>2000</v>
      </c>
      <c r="G12" s="26">
        <f t="shared" si="6"/>
        <v>2400</v>
      </c>
      <c r="H12" s="26">
        <f t="shared" si="6"/>
        <v>2800</v>
      </c>
      <c r="I12" s="26">
        <f t="shared" si="6"/>
        <v>3200</v>
      </c>
      <c r="J12" s="26">
        <f t="shared" si="6"/>
        <v>3600</v>
      </c>
      <c r="K12" s="26">
        <f t="shared" si="6"/>
        <v>4000</v>
      </c>
      <c r="L12" s="26">
        <f t="shared" si="6"/>
        <v>4400</v>
      </c>
      <c r="M12" s="26">
        <f t="shared" si="6"/>
        <v>4800</v>
      </c>
    </row>
    <row r="13" spans="2:13" ht="16" x14ac:dyDescent="0.4">
      <c r="B13" s="23" t="s">
        <v>37</v>
      </c>
      <c r="D13" s="151">
        <f>D5-SUM(D7:D12)</f>
        <v>1350</v>
      </c>
      <c r="E13" s="151">
        <f t="shared" ref="E13:M13" si="7">E5-SUM(E7:E12)</f>
        <v>1800</v>
      </c>
      <c r="F13" s="151">
        <f t="shared" si="7"/>
        <v>2250</v>
      </c>
      <c r="G13" s="151">
        <f t="shared" si="7"/>
        <v>2700</v>
      </c>
      <c r="H13" s="151">
        <f t="shared" si="7"/>
        <v>3150</v>
      </c>
      <c r="I13" s="151">
        <f t="shared" si="7"/>
        <v>3600</v>
      </c>
      <c r="J13" s="151">
        <f t="shared" si="7"/>
        <v>4050</v>
      </c>
      <c r="K13" s="151">
        <f t="shared" si="7"/>
        <v>4500</v>
      </c>
      <c r="L13" s="151">
        <f t="shared" si="7"/>
        <v>4950</v>
      </c>
      <c r="M13" s="151">
        <f t="shared" si="7"/>
        <v>5400</v>
      </c>
    </row>
    <row r="14" spans="2:13" ht="16" x14ac:dyDescent="0.4">
      <c r="B14" s="155" t="s">
        <v>24</v>
      </c>
      <c r="D14" s="26">
        <f>SUM(D7:D13)</f>
        <v>15000</v>
      </c>
      <c r="E14" s="26">
        <f t="shared" ref="E14:M14" si="8">SUM(E7:E13)</f>
        <v>20000</v>
      </c>
      <c r="F14" s="26">
        <f t="shared" si="8"/>
        <v>25000</v>
      </c>
      <c r="G14" s="26">
        <f t="shared" si="8"/>
        <v>30000</v>
      </c>
      <c r="H14" s="26">
        <f t="shared" si="8"/>
        <v>35000</v>
      </c>
      <c r="I14" s="26">
        <f t="shared" si="8"/>
        <v>40000</v>
      </c>
      <c r="J14" s="26">
        <f t="shared" si="8"/>
        <v>45000</v>
      </c>
      <c r="K14" s="26">
        <f t="shared" si="8"/>
        <v>50000</v>
      </c>
      <c r="L14" s="26">
        <f t="shared" si="8"/>
        <v>55000</v>
      </c>
      <c r="M14" s="26">
        <f t="shared" si="8"/>
        <v>60000</v>
      </c>
    </row>
    <row r="16" spans="2:13" ht="16" x14ac:dyDescent="0.4">
      <c r="B16" s="23"/>
      <c r="C16" s="21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9" spans="2:3" ht="16" x14ac:dyDescent="0.4">
      <c r="C19" s="3"/>
    </row>
    <row r="20" spans="2:3" ht="21.5" x14ac:dyDescent="0.55000000000000004">
      <c r="B20" s="55"/>
    </row>
    <row r="21" spans="2:3" ht="16" x14ac:dyDescent="0.4">
      <c r="B21" s="3"/>
      <c r="C21" s="3"/>
    </row>
    <row r="22" spans="2:3" ht="16" x14ac:dyDescent="0.4">
      <c r="C22" s="3"/>
    </row>
    <row r="23" spans="2:3" ht="16" x14ac:dyDescent="0.4">
      <c r="B23" s="3"/>
    </row>
    <row r="24" spans="2:3" ht="16" x14ac:dyDescent="0.4">
      <c r="B24" s="3"/>
    </row>
  </sheetData>
  <pageMargins left="0.7" right="0.7" top="0.75" bottom="0.97" header="0.3" footer="0.41"/>
  <pageSetup scale="82" orientation="landscape" horizontalDpi="1200" verticalDpi="1200" r:id="rId1"/>
  <headerFooter>
    <oddFooter>&amp;L&amp;G&amp;C&amp;"-,Bold"&amp;12Prepared By&amp;"-,Regular"&amp;11:&amp;12 Scott McLean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94774f-fb83-4fed-b821-e18d48848469">
      <Terms xmlns="http://schemas.microsoft.com/office/infopath/2007/PartnerControls"/>
    </lcf76f155ced4ddcb4097134ff3c332f>
    <TaxCatchAll xmlns="aa08f228-8477-4482-8ace-969fabb20d1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336036A1087143AA3DE42646F2A439" ma:contentTypeVersion="17" ma:contentTypeDescription="Create a new document." ma:contentTypeScope="" ma:versionID="2795e2a5c65d4e559c57e7161a52f92a">
  <xsd:schema xmlns:xsd="http://www.w3.org/2001/XMLSchema" xmlns:xs="http://www.w3.org/2001/XMLSchema" xmlns:p="http://schemas.microsoft.com/office/2006/metadata/properties" xmlns:ns2="aa08f228-8477-4482-8ace-969fabb20d19" xmlns:ns3="a394774f-fb83-4fed-b821-e18d48848469" targetNamespace="http://schemas.microsoft.com/office/2006/metadata/properties" ma:root="true" ma:fieldsID="9d7bab733bebeacccf245ca317946889" ns2:_="" ns3:_="">
    <xsd:import namespace="aa08f228-8477-4482-8ace-969fabb20d19"/>
    <xsd:import namespace="a394774f-fb83-4fed-b821-e18d4884846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08f228-8477-4482-8ace-969fabb20d1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7f87838-f9e5-47e3-a698-afc2ffd1640a}" ma:internalName="TaxCatchAll" ma:showField="CatchAllData" ma:web="aa08f228-8477-4482-8ace-969fabb20d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4774f-fb83-4fed-b821-e18d48848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6c1dd75-6ec8-4366-a255-559425175b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BBD1F4-8059-461D-8121-D22B4CD5FD98}">
  <ds:schemaRefs>
    <ds:schemaRef ds:uri="http://schemas.microsoft.com/office/2006/metadata/properties"/>
    <ds:schemaRef ds:uri="http://schemas.microsoft.com/office/infopath/2007/PartnerControls"/>
    <ds:schemaRef ds:uri="a394774f-fb83-4fed-b821-e18d48848469"/>
    <ds:schemaRef ds:uri="aa08f228-8477-4482-8ace-969fabb20d19"/>
  </ds:schemaRefs>
</ds:datastoreItem>
</file>

<file path=customXml/itemProps2.xml><?xml version="1.0" encoding="utf-8"?>
<ds:datastoreItem xmlns:ds="http://schemas.openxmlformats.org/officeDocument/2006/customXml" ds:itemID="{1D8996AF-B3BE-446C-B25A-90D326FE4E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EEDE04-29BE-4085-95B0-3202BA0DC5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08f228-8477-4482-8ace-969fabb20d19"/>
    <ds:schemaRef ds:uri="a394774f-fb83-4fed-b821-e18d488484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Financial Scenario</vt:lpstr>
      <vt:lpstr>Data</vt:lpstr>
      <vt:lpstr>Space Allocations</vt:lpstr>
      <vt:lpstr>'Financial Scenario'!Print_Area</vt:lpstr>
      <vt:lpstr>'Financial Scenario'!Print_Titles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McLean</dc:creator>
  <cp:lastModifiedBy>Scott McLean</cp:lastModifiedBy>
  <cp:lastPrinted>2025-02-13T21:02:12Z</cp:lastPrinted>
  <dcterms:created xsi:type="dcterms:W3CDTF">2017-02-07T21:09:39Z</dcterms:created>
  <dcterms:modified xsi:type="dcterms:W3CDTF">2025-02-13T21:02:41Z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0x010100F8336036A1087143AA3DE42646F2A439</vt:lpwstr>
  </property>
</Properties>
</file>